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1970" windowHeight="15435" activeTab="0"/>
  </bookViews>
  <sheets>
    <sheet name="Ilmanvaihto" sheetId="1" r:id="rId1"/>
    <sheet name="LTO-laskin" sheetId="2" r:id="rId2"/>
    <sheet name="Hki-2012" sheetId="3" state="hidden" r:id="rId3"/>
    <sheet name="Jky-2012" sheetId="4" state="hidden" r:id="rId4"/>
    <sheet name="Sod-2012" sheetId="5" state="hidden" r:id="rId5"/>
  </sheets>
  <definedNames>
    <definedName name="_xlnm.Print_Area" localSheetId="2">'Hki-2012'!$A$18:$R$69</definedName>
    <definedName name="_xlnm.Print_Area" localSheetId="0">'Ilmanvaihto'!$A$1:$M$122</definedName>
    <definedName name="_xlnm.Print_Area" localSheetId="3">'Jky-2012'!$A$18:$R$69</definedName>
    <definedName name="_xlnm.Print_Area" localSheetId="1">'LTO-laskin'!$A$1:$F$32</definedName>
    <definedName name="_xlnm.Print_Area" localSheetId="4">'Sod-2012'!$A$18:$R$69</definedName>
  </definedNames>
  <calcPr fullCalcOnLoad="1"/>
</workbook>
</file>

<file path=xl/comments1.xml><?xml version="1.0" encoding="utf-8"?>
<comments xmlns="http://schemas.openxmlformats.org/spreadsheetml/2006/main">
  <authors>
    <author>a</author>
  </authors>
  <commentList>
    <comment ref="J12" authorId="0">
      <text>
        <r>
          <rPr>
            <b/>
            <sz val="8"/>
            <rFont val="Tahoma"/>
            <family val="0"/>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L12" authorId="0">
      <text>
        <r>
          <rPr>
            <sz val="10"/>
            <rFont val="Tahoma"/>
            <family val="2"/>
          </rPr>
          <t>Laske ja hae ilmanvaihtokonekohtainen poistoilman lämmöntalteenoton (LTO) vuosihyötysuhde tähän "LTO-laskin"-sivulta.
Ilmanvaihtokonekohtainen poistoilman lämmöntalteenoton (LTO) vuosihyötysuhde määritetään rakentamismääräyskokoelman osan D3 mukaan.
Tasauslaskentaopas 2012 sisältää yksityiskohtaisia ohjeita LTO:n vuosihyötysuhteen määrittämisestä. Vastaavat ohjeet on julkaistu aikaisemmin ympäristöministeriön monisteessa 122.</t>
        </r>
        <r>
          <rPr>
            <b/>
            <sz val="8"/>
            <rFont val="Tahoma"/>
            <family val="0"/>
          </rPr>
          <t xml:space="preserve">
</t>
        </r>
      </text>
    </comment>
    <comment ref="G12" authorId="0">
      <text>
        <r>
          <rPr>
            <sz val="10"/>
            <rFont val="Tahoma"/>
            <family val="2"/>
          </rPr>
          <t>Käyttöajan keskimääräinen poistoilmavirta on mitoituspoistoilmavirta kerrottuna käyttöilmavirtakertoimella.</t>
        </r>
      </text>
    </comment>
    <comment ref="K12" authorId="0">
      <text>
        <r>
          <rPr>
            <sz val="10"/>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rFont val="Symbol"/>
            <family val="1"/>
          </rPr>
          <t>t</t>
        </r>
        <r>
          <rPr>
            <vertAlign val="subscript"/>
            <sz val="10"/>
            <rFont val="Tahoma"/>
            <family val="2"/>
          </rPr>
          <t>d</t>
        </r>
        <r>
          <rPr>
            <sz val="10"/>
            <rFont val="Tahoma"/>
            <family val="2"/>
          </rPr>
          <t xml:space="preserve">/24 x </t>
        </r>
        <r>
          <rPr>
            <sz val="10"/>
            <rFont val="Symbol"/>
            <family val="1"/>
          </rPr>
          <t>t</t>
        </r>
        <r>
          <rPr>
            <vertAlign val="subscript"/>
            <sz val="10"/>
            <rFont val="Tahoma"/>
            <family val="2"/>
          </rPr>
          <t>v</t>
        </r>
        <r>
          <rPr>
            <sz val="10"/>
            <rFont val="Tahoma"/>
            <family val="2"/>
          </rPr>
          <t>/7.</t>
        </r>
      </text>
    </comment>
    <comment ref="L10" authorId="0">
      <text>
        <r>
          <rPr>
            <sz val="10"/>
            <rFont val="Tahoma"/>
            <family val="2"/>
          </rPr>
          <t>Ilmanvaihdon LTO:n vuosihyötysuhde on käyntiajalla painotetuilla poistoilmavirroilla painotettujen ilmanvaihtokonekohtaisten LTO:n vuosihyötysuhteiden keskiarvo.</t>
        </r>
      </text>
    </comment>
    <comment ref="K10" authorId="0">
      <text>
        <r>
          <rPr>
            <sz val="10"/>
            <rFont val="Tahoma"/>
            <family val="2"/>
          </rPr>
          <t>Poistoilmavirta on käyntiajoilla painotettujen poistoilmavirtojen summa.</t>
        </r>
      </text>
    </comment>
    <comment ref="K11" authorId="0">
      <text>
        <r>
          <rPr>
            <sz val="10"/>
            <rFont val="Tahoma"/>
            <family val="2"/>
          </rPr>
          <t>Tätä ilmavirtaa voidaan käyttää todellisen energiankulutuksen laskennassa. 
Jos rakennuksen käyttötarkoitusluokka on 9, niin kopioi tämä ilmavirta tasauslaskenta-lomakkeeseen.</t>
        </r>
      </text>
    </comment>
    <comment ref="L11" authorId="0">
      <text>
        <r>
          <rPr>
            <sz val="10"/>
            <rFont val="Tahoma"/>
            <family val="2"/>
          </rPr>
          <t>Kopioi arvo tasauslaskenta-lomakkeeseen.</t>
        </r>
      </text>
    </comment>
    <comment ref="G6" authorId="0">
      <text>
        <r>
          <rPr>
            <b/>
            <sz val="8"/>
            <rFont val="Tahoma"/>
            <family val="0"/>
          </rPr>
          <t>Muodossa:
pv.kk.vvvv</t>
        </r>
      </text>
    </comment>
    <comment ref="J46" authorId="0">
      <text>
        <r>
          <rPr>
            <b/>
            <sz val="8"/>
            <rFont val="Tahoma"/>
            <family val="0"/>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J70" authorId="0">
      <text>
        <r>
          <rPr>
            <b/>
            <sz val="8"/>
            <rFont val="Tahoma"/>
            <family val="0"/>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J104" authorId="0">
      <text>
        <r>
          <rPr>
            <b/>
            <sz val="8"/>
            <rFont val="Tahoma"/>
            <family val="0"/>
          </rPr>
          <t xml:space="preserve">Osan D3/2012 mukaan:
Käyntiaikatekijä td on ilmanvaihtolaitoksen keskimääräinen vuorokautinen käyntiaika, h/24h
tw  on ilmanvaihtolaitoksen viikoittainen käyntiaika, d/7d
Rakennuksen käyttöaikaan lisätään ilmanvaihdon käyntiajan laskemiseksi 1 h alkuun ja 1 h loppuun eli kaksi tuntia vuorokaudessa. Jos ilmanvaihto on päällä jatkuvasti ja vuorokautinen käyttöaika lisäyksen johdosta ylittäisi yleisesti hyväksytyn vuorokauden pituuden 24 h, niin lisäyksiä ei  tehdä. 
</t>
        </r>
      </text>
    </comment>
    <comment ref="A14" authorId="0">
      <text>
        <r>
          <rPr>
            <sz val="10"/>
            <rFont val="Tahoma"/>
            <family val="2"/>
          </rPr>
          <t>Ilmanvaihtokoneen lyhyt nimi.</t>
        </r>
      </text>
    </comment>
    <comment ref="B14" authorId="0">
      <text>
        <r>
          <rPr>
            <sz val="10"/>
            <rFont val="Tahoma"/>
            <family val="2"/>
          </rPr>
          <t>Ilmanvaihtokoneen palvelualue.</t>
        </r>
      </text>
    </comment>
    <comment ref="C12" authorId="0">
      <text>
        <r>
          <rPr>
            <sz val="10"/>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12" authorId="0">
      <text>
        <r>
          <rPr>
            <sz val="10"/>
            <rFont val="Tahoma"/>
            <family val="2"/>
          </rPr>
          <t>Ilmanvaihtokoneen mitoitustuloilmavirta saadaan suunnitteluasiakirjoista.</t>
        </r>
      </text>
    </comment>
    <comment ref="E12" authorId="0">
      <text>
        <r>
          <rPr>
            <sz val="10"/>
            <rFont val="Tahoma"/>
            <family val="2"/>
          </rPr>
          <t>Ilmanvaihtokoneen mitoituspoistoilmavirta saadaan suunnitteluasiakirjoista.</t>
        </r>
      </text>
    </comment>
    <comment ref="F12" authorId="0">
      <text>
        <r>
          <rPr>
            <sz val="10"/>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A48" authorId="0">
      <text>
        <r>
          <rPr>
            <sz val="10"/>
            <rFont val="Tahoma"/>
            <family val="2"/>
          </rPr>
          <t>Ilmanvaihtokoneen lyhyt nimi.</t>
        </r>
      </text>
    </comment>
    <comment ref="B48" authorId="0">
      <text>
        <r>
          <rPr>
            <sz val="10"/>
            <rFont val="Tahoma"/>
            <family val="2"/>
          </rPr>
          <t>Ilmanvaihtokoneen palvelualue.</t>
        </r>
      </text>
    </comment>
    <comment ref="A72" authorId="0">
      <text>
        <r>
          <rPr>
            <sz val="10"/>
            <rFont val="Tahoma"/>
            <family val="2"/>
          </rPr>
          <t>Ilmanvaihtokoneen lyhyt nimi.</t>
        </r>
      </text>
    </comment>
    <comment ref="B72" authorId="0">
      <text>
        <r>
          <rPr>
            <sz val="10"/>
            <rFont val="Tahoma"/>
            <family val="2"/>
          </rPr>
          <t>Ilmanvaihtokoneen palvelualue.</t>
        </r>
      </text>
    </comment>
    <comment ref="A106" authorId="0">
      <text>
        <r>
          <rPr>
            <sz val="10"/>
            <rFont val="Tahoma"/>
            <family val="2"/>
          </rPr>
          <t>Ilmanvaihtokoneen lyhyt nimi.</t>
        </r>
      </text>
    </comment>
    <comment ref="B106" authorId="0">
      <text>
        <r>
          <rPr>
            <sz val="10"/>
            <rFont val="Tahoma"/>
            <family val="2"/>
          </rPr>
          <t>Ilmanvaihtokoneen palvelualue.</t>
        </r>
      </text>
    </comment>
    <comment ref="C46" authorId="0">
      <text>
        <r>
          <rPr>
            <sz val="10"/>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46" authorId="0">
      <text>
        <r>
          <rPr>
            <sz val="10"/>
            <rFont val="Tahoma"/>
            <family val="2"/>
          </rPr>
          <t>Ilmanvaihtokoneen mitoitustuloilmavirta saadaan suunnitteluasiakirjoista.</t>
        </r>
      </text>
    </comment>
    <comment ref="E46" authorId="0">
      <text>
        <r>
          <rPr>
            <sz val="10"/>
            <rFont val="Tahoma"/>
            <family val="2"/>
          </rPr>
          <t>Ilmanvaihtokoneen mitoituspoistoilmavirta saadaan suunnitteluasiakirjoista.</t>
        </r>
      </text>
    </comment>
    <comment ref="F46" authorId="0">
      <text>
        <r>
          <rPr>
            <sz val="10"/>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46" authorId="0">
      <text>
        <r>
          <rPr>
            <sz val="10"/>
            <rFont val="Tahoma"/>
            <family val="2"/>
          </rPr>
          <t>Käyttöajan keskimääräinen poistoilmavirta on mitoituspoistoilmavirta kerrottuna käyttöilmavirtakertoimella.</t>
        </r>
      </text>
    </comment>
    <comment ref="C70" authorId="0">
      <text>
        <r>
          <rPr>
            <sz val="10"/>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70" authorId="0">
      <text>
        <r>
          <rPr>
            <sz val="10"/>
            <rFont val="Tahoma"/>
            <family val="2"/>
          </rPr>
          <t>Ilmanvaihtokoneen mitoitustuloilmavirta saadaan suunnitteluasiakirjoista.</t>
        </r>
      </text>
    </comment>
    <comment ref="E70" authorId="0">
      <text>
        <r>
          <rPr>
            <sz val="10"/>
            <rFont val="Tahoma"/>
            <family val="2"/>
          </rPr>
          <t>Ilmanvaihtokoneen mitoituspoistoilmavirta saadaan suunnitteluasiakirjoista.</t>
        </r>
      </text>
    </comment>
    <comment ref="F70" authorId="0">
      <text>
        <r>
          <rPr>
            <sz val="10"/>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70" authorId="0">
      <text>
        <r>
          <rPr>
            <sz val="10"/>
            <rFont val="Tahoma"/>
            <family val="2"/>
          </rPr>
          <t>Käyttöajan keskimääräinen poistoilmavirta on mitoituspoistoilmavirta kerrottuna käyttöilmavirtakertoimella.</t>
        </r>
      </text>
    </comment>
    <comment ref="C104" authorId="0">
      <text>
        <r>
          <rPr>
            <sz val="10"/>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D104" authorId="0">
      <text>
        <r>
          <rPr>
            <sz val="10"/>
            <rFont val="Tahoma"/>
            <family val="2"/>
          </rPr>
          <t>Ilmanvaihtokoneen mitoitustuloilmavirta saadaan suunnitteluasiakirjoista.</t>
        </r>
      </text>
    </comment>
    <comment ref="E104" authorId="0">
      <text>
        <r>
          <rPr>
            <sz val="10"/>
            <rFont val="Tahoma"/>
            <family val="2"/>
          </rPr>
          <t>Ilmanvaihtokoneen mitoituspoistoilmavirta saadaan suunnitteluasiakirjoista.</t>
        </r>
      </text>
    </comment>
    <comment ref="F104" authorId="0">
      <text>
        <r>
          <rPr>
            <sz val="10"/>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G104" authorId="0">
      <text>
        <r>
          <rPr>
            <sz val="10"/>
            <rFont val="Tahoma"/>
            <family val="2"/>
          </rPr>
          <t>Käyttöajan keskimääräinen poistoilmavirta on mitoituspoistoilmavirta kerrottuna käyttöilmavirtakertoimella.</t>
        </r>
      </text>
    </comment>
    <comment ref="L69" authorId="0">
      <text>
        <r>
          <rPr>
            <sz val="10"/>
            <rFont val="Tahoma"/>
            <family val="2"/>
          </rPr>
          <t>Kopioi arvo tasauslaskenta-lomakkeeseen.</t>
        </r>
      </text>
    </comment>
    <comment ref="K45" authorId="0">
      <text>
        <r>
          <rPr>
            <sz val="10"/>
            <rFont val="Tahoma"/>
            <family val="2"/>
          </rPr>
          <t>Kopioi arvo tasauslaskenta-lomakkeeseen.</t>
        </r>
      </text>
    </comment>
    <comment ref="K103" authorId="0">
      <text>
        <r>
          <rPr>
            <sz val="10"/>
            <rFont val="Tahoma"/>
            <family val="2"/>
          </rPr>
          <t>Kopioi arvo tasauslaskenta-lomakkeeseen.</t>
        </r>
      </text>
    </comment>
    <comment ref="L68" authorId="0">
      <text>
        <r>
          <rPr>
            <sz val="10"/>
            <rFont val="Tahoma"/>
            <family val="2"/>
          </rPr>
          <t>Ilmanvaihdon LTO:n vuosihyötysuhde on käyttöajalla painotetuilla poistoilmavirroilla painotettujen ilmanvaihtokonekohtaisten LTO:n vuosihyötysuhteiden keskiarvo.</t>
        </r>
      </text>
    </comment>
    <comment ref="H13" authorId="0">
      <text>
        <r>
          <rPr>
            <sz val="10"/>
            <rFont val="Tahoma"/>
            <family val="2"/>
          </rPr>
          <t>Ilmanvaihtokoneen käyntiaika (tuntia) vuorokaudessa.</t>
        </r>
      </text>
    </comment>
    <comment ref="I13" authorId="0">
      <text>
        <r>
          <rPr>
            <sz val="10"/>
            <rFont val="Tahoma"/>
            <family val="2"/>
          </rPr>
          <t>Ilmanvaihtokoneen käyntiaika (vuorokautta) viikossa.</t>
        </r>
      </text>
    </comment>
    <comment ref="H12" authorId="0">
      <text>
        <r>
          <rPr>
            <sz val="10"/>
            <rFont val="Tahoma"/>
            <family val="2"/>
          </rPr>
          <t xml:space="preserve">Käyntiaikatekijöillä muunnetaan osan aikaa käynnissä olevien ilmanvaihtokoneiden ilmavirrat vastaamaan jatkuvasti käynnissä olevien ilmanvaihtokoneiden ilmavirtoja. </t>
        </r>
      </text>
    </comment>
    <comment ref="K44" authorId="0">
      <text>
        <r>
          <rPr>
            <sz val="10"/>
            <rFont val="Tahoma"/>
            <family val="2"/>
          </rPr>
          <t>Poistoilmavirta on käyntiajoilla painotettujen poistoilmavirtojen summa.</t>
        </r>
      </text>
    </comment>
    <comment ref="K68" authorId="0">
      <text>
        <r>
          <rPr>
            <sz val="10"/>
            <rFont val="Tahoma"/>
            <family val="2"/>
          </rPr>
          <t>Poistoilmavirta on käyntiajoilla painotettujen poistoilmavirtojen summa.</t>
        </r>
      </text>
    </comment>
    <comment ref="K102" authorId="0">
      <text>
        <r>
          <rPr>
            <sz val="10"/>
            <rFont val="Tahoma"/>
            <family val="2"/>
          </rPr>
          <t>Poistoilmavirta on käyntiajoilla painotettujen poistoilmavirtojen summa.</t>
        </r>
      </text>
    </comment>
    <comment ref="H46" authorId="0">
      <text>
        <r>
          <rPr>
            <sz val="10"/>
            <rFont val="Tahoma"/>
            <family val="2"/>
          </rPr>
          <t xml:space="preserve">Käyntiaikatekijöillä muunnetaan osan aikaa käynnissä olevien ilmanvaihtokoneiden ilmavirrat vastaamaan jatkuvasti käynnissä olevien ilmanvaihtokoneiden ilmavirtoja. </t>
        </r>
      </text>
    </comment>
    <comment ref="H70" authorId="0">
      <text>
        <r>
          <rPr>
            <sz val="10"/>
            <rFont val="Tahoma"/>
            <family val="2"/>
          </rPr>
          <t xml:space="preserve">Käyntiaikatekijöillä muunnetaan osan aikaa käynnissä olevien ilmanvaihtokoneiden ilmavirrat vastaamaan jatkuvasti käynnissä olevien ilmanvaihtokoneiden ilmavirtoja. </t>
        </r>
      </text>
    </comment>
    <comment ref="H104" authorId="0">
      <text>
        <r>
          <rPr>
            <sz val="10"/>
            <rFont val="Tahoma"/>
            <family val="2"/>
          </rPr>
          <t xml:space="preserve">Käyntiaikatekijöillä muunnetaan osan aikaa käynnissä olevien ilmanvaihtokoneiden ilmavirrat vastaamaan jatkuvasti käynnissä olevien ilmanvaihtokoneiden ilmavirtoja. </t>
        </r>
      </text>
    </comment>
    <comment ref="L70" authorId="0">
      <text>
        <r>
          <rPr>
            <sz val="10"/>
            <rFont val="Tahoma"/>
            <family val="2"/>
          </rPr>
          <t>Laske ja hae ilmanvaihtokonekohtainen poistoilman lämmöntalteenoton (LTO) vuosihyötysuhde tähän "LTO-laskin"-sivulta.
Ilmanvaihtokonekohtainen poistoilman lämmöntalteenoton (LTO) vuosihyötysuhde määritetään rakentamismääräyskokoelman osan D3 mukaan.
Tasauslaskentaopas 2012 sisältää yksityiskohtaisia ohjeita LTO:n vuosihyötysuhteen määrittämisestä. Vastaavat ohjeet on julkaistu aikaisemmin ympäristöministeriön monisteessa 122.</t>
        </r>
        <r>
          <rPr>
            <b/>
            <sz val="8"/>
            <rFont val="Tahoma"/>
            <family val="0"/>
          </rPr>
          <t xml:space="preserve">
</t>
        </r>
      </text>
    </comment>
    <comment ref="H47" authorId="0">
      <text>
        <r>
          <rPr>
            <sz val="10"/>
            <rFont val="Tahoma"/>
            <family val="2"/>
          </rPr>
          <t>Ilmanvaihtokoneen käyntiaika (tuntia) vuorokaudessa.</t>
        </r>
      </text>
    </comment>
    <comment ref="I47" authorId="0">
      <text>
        <r>
          <rPr>
            <sz val="10"/>
            <rFont val="Tahoma"/>
            <family val="2"/>
          </rPr>
          <t>Ilmanvaihtokoneen käyntiaika (vuorokautta) viikossa.</t>
        </r>
      </text>
    </comment>
    <comment ref="H71" authorId="0">
      <text>
        <r>
          <rPr>
            <sz val="10"/>
            <rFont val="Tahoma"/>
            <family val="2"/>
          </rPr>
          <t>Ilmanvaihtokoneen käyntiaika (tuntia) vuorokaudessa.</t>
        </r>
      </text>
    </comment>
    <comment ref="I71" authorId="0">
      <text>
        <r>
          <rPr>
            <sz val="10"/>
            <rFont val="Tahoma"/>
            <family val="2"/>
          </rPr>
          <t>Ilmanvaihtokoneen käyntiaika (vuorokautta) viikossa.</t>
        </r>
      </text>
    </comment>
    <comment ref="H105" authorId="0">
      <text>
        <r>
          <rPr>
            <sz val="10"/>
            <rFont val="Tahoma"/>
            <family val="2"/>
          </rPr>
          <t>Ilmanvaihtokoneen käyntiaika (tuntia) vuorokaudessa.</t>
        </r>
      </text>
    </comment>
    <comment ref="I105" authorId="0">
      <text>
        <r>
          <rPr>
            <sz val="10"/>
            <rFont val="Tahoma"/>
            <family val="2"/>
          </rPr>
          <t>Ilmanvaihtokoneen käyntiaika (vuorokautta) viikossa.</t>
        </r>
      </text>
    </comment>
    <comment ref="K46" authorId="0">
      <text>
        <r>
          <rPr>
            <sz val="10"/>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rFont val="Symbol"/>
            <family val="1"/>
          </rPr>
          <t>t</t>
        </r>
        <r>
          <rPr>
            <vertAlign val="subscript"/>
            <sz val="10"/>
            <rFont val="Tahoma"/>
            <family val="2"/>
          </rPr>
          <t>d</t>
        </r>
        <r>
          <rPr>
            <sz val="10"/>
            <rFont val="Tahoma"/>
            <family val="2"/>
          </rPr>
          <t xml:space="preserve">/24 x </t>
        </r>
        <r>
          <rPr>
            <sz val="10"/>
            <rFont val="Symbol"/>
            <family val="1"/>
          </rPr>
          <t>t</t>
        </r>
        <r>
          <rPr>
            <vertAlign val="subscript"/>
            <sz val="10"/>
            <rFont val="Tahoma"/>
            <family val="2"/>
          </rPr>
          <t>v</t>
        </r>
        <r>
          <rPr>
            <sz val="10"/>
            <rFont val="Tahoma"/>
            <family val="2"/>
          </rPr>
          <t>/7.</t>
        </r>
      </text>
    </comment>
    <comment ref="K70" authorId="0">
      <text>
        <r>
          <rPr>
            <sz val="10"/>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rFont val="Symbol"/>
            <family val="1"/>
          </rPr>
          <t>t</t>
        </r>
        <r>
          <rPr>
            <vertAlign val="subscript"/>
            <sz val="10"/>
            <rFont val="Tahoma"/>
            <family val="2"/>
          </rPr>
          <t>d</t>
        </r>
        <r>
          <rPr>
            <sz val="10"/>
            <rFont val="Tahoma"/>
            <family val="2"/>
          </rPr>
          <t xml:space="preserve">/24 x </t>
        </r>
        <r>
          <rPr>
            <sz val="10"/>
            <rFont val="Symbol"/>
            <family val="1"/>
          </rPr>
          <t>t</t>
        </r>
        <r>
          <rPr>
            <vertAlign val="subscript"/>
            <sz val="10"/>
            <rFont val="Tahoma"/>
            <family val="2"/>
          </rPr>
          <t>v</t>
        </r>
        <r>
          <rPr>
            <sz val="10"/>
            <rFont val="Tahoma"/>
            <family val="2"/>
          </rPr>
          <t>/7.</t>
        </r>
      </text>
    </comment>
    <comment ref="K104" authorId="0">
      <text>
        <r>
          <rPr>
            <sz val="10"/>
            <rFont val="Tahoma"/>
            <family val="2"/>
          </rPr>
          <t xml:space="preserve">Käyntiajoilla painotettu poistoilmavirta on käyttöajan keskimääräinen poistoilmavirta kerrottuna käyntiaikatekijöillä.
Käyntiajoilla painotettu poistoilmavirta = 
käyttöajan keskimääräinen poistoilmavirta x 
</t>
        </r>
        <r>
          <rPr>
            <sz val="10"/>
            <rFont val="Symbol"/>
            <family val="1"/>
          </rPr>
          <t>t</t>
        </r>
        <r>
          <rPr>
            <vertAlign val="subscript"/>
            <sz val="10"/>
            <rFont val="Tahoma"/>
            <family val="2"/>
          </rPr>
          <t>d</t>
        </r>
        <r>
          <rPr>
            <sz val="10"/>
            <rFont val="Tahoma"/>
            <family val="2"/>
          </rPr>
          <t xml:space="preserve">/24 x </t>
        </r>
        <r>
          <rPr>
            <sz val="10"/>
            <rFont val="Symbol"/>
            <family val="1"/>
          </rPr>
          <t>t</t>
        </r>
        <r>
          <rPr>
            <vertAlign val="subscript"/>
            <sz val="10"/>
            <rFont val="Tahoma"/>
            <family val="2"/>
          </rPr>
          <t>v</t>
        </r>
        <r>
          <rPr>
            <sz val="10"/>
            <rFont val="Tahoma"/>
            <family val="2"/>
          </rPr>
          <t>/7.</t>
        </r>
      </text>
    </comment>
    <comment ref="K69" authorId="0">
      <text>
        <r>
          <rPr>
            <sz val="10"/>
            <rFont val="Tahoma"/>
            <family val="2"/>
          </rPr>
          <t>Tätä ilmavirtaa voidaan käyttää todellisen energiankulutuksen laskennassa. 
Jos rakennuksen käyttötarkoitusluokka on 9, niin kopioi tämä ilmavirta tasauslaskenta-lomakkeeseen.</t>
        </r>
      </text>
    </comment>
  </commentList>
</comments>
</file>

<file path=xl/comments2.xml><?xml version="1.0" encoding="utf-8"?>
<comments xmlns="http://schemas.openxmlformats.org/spreadsheetml/2006/main">
  <authors>
    <author>a</author>
  </authors>
  <commentList>
    <comment ref="C16" authorId="0">
      <text>
        <r>
          <rPr>
            <sz val="10"/>
            <rFont val="Tahoma"/>
            <family val="2"/>
          </rPr>
          <t>Tuloilman lämpötilasuhde (0...1) käyttöajan keskimääräisellä ilmavirralla 
Käyttöajan keskimääräinen ilmavirta = Käyttöilmavirtakerroin x Mitoitusilmavirta</t>
        </r>
      </text>
    </comment>
    <comment ref="D11" authorId="0">
      <text>
        <r>
          <rPr>
            <sz val="10"/>
            <rFont val="Tahoma"/>
            <family val="2"/>
          </rPr>
          <t>Ilmanvaihtokoneen mitoitustuloilmavirta saadaan suunnitteluasiakirjoista.</t>
        </r>
      </text>
    </comment>
    <comment ref="E11" authorId="0">
      <text>
        <r>
          <rPr>
            <sz val="10"/>
            <rFont val="Tahoma"/>
            <family val="2"/>
          </rPr>
          <t>Ilmanvaihtokoneen mitoituspoistoilmavirta saadaan suunnitteluasiakirjoista.</t>
        </r>
      </text>
    </comment>
    <comment ref="F11" authorId="0">
      <text>
        <r>
          <rPr>
            <sz val="10"/>
            <rFont val="Tahoma"/>
            <family val="2"/>
          </rPr>
          <t>Käyttöilmavirtakertoimella korjataan mitoituspoistoilmavirta vastaamaan rakennuksen ja ilmanvaihdon todellista käyttöä.
Käyttöilmavirtakerroin on yleensä 1, mutta se voi olla pienempi kuin yksi, jos ilmanvaihtoa ohjataan tarpeen mukaan. 
Käyttöilmavirtakerroin voi olla suurempi kuin yksi, jos ilmanvaihtoa voidaan tehostaa tarpeen mukaan.</t>
        </r>
      </text>
    </comment>
    <comment ref="C22" authorId="0">
      <text>
        <r>
          <rPr>
            <sz val="10"/>
            <rFont val="Tahoma"/>
            <family val="2"/>
          </rPr>
          <t>Ohje:
Jäteilman minimilämpötila saadaan yleensä ilmanvaihtosuunnittelijalta tai laitevalmistajalta.
Asuinrakennuksissa jäteilman minimilämpötila voi olla esimerkiksi +5 °C, 
kuivissa toimistorakennuksissa esimerkiksi 0 °C.
Tasauslaskentaopas 2012.</t>
        </r>
      </text>
    </comment>
    <comment ref="C26" authorId="0">
      <text>
        <r>
          <rPr>
            <sz val="10"/>
            <rFont val="Tahoma"/>
            <family val="2"/>
          </rPr>
          <t>Kopioi säävyöhykettä I (Helsinki-Vantaa) vastaava arvo ilmanvaihtolomakeeseen tai suoraan tasauslaskenta-lomakkeeseen
(kopiointi ilman muotoiluja)</t>
        </r>
      </text>
    </comment>
    <comment ref="A13" authorId="0">
      <text>
        <r>
          <rPr>
            <sz val="10"/>
            <rFont val="Tahoma"/>
            <family val="2"/>
          </rPr>
          <t>Ilmanvaihtokoneen lyhyt nimi.</t>
        </r>
      </text>
    </comment>
    <comment ref="B13" authorId="0">
      <text>
        <r>
          <rPr>
            <sz val="10"/>
            <rFont val="Tahoma"/>
            <family val="2"/>
          </rPr>
          <t>Ilmanvaihtokoneen palvelualue.</t>
        </r>
      </text>
    </comment>
    <comment ref="C13" authorId="0">
      <text>
        <r>
          <rPr>
            <sz val="10"/>
            <rFont val="Tahoma"/>
            <family val="2"/>
          </rPr>
          <t>Ilmanvaihtokoneen käyttötavat esimerkiksi jatkuva käyttö,
päiväkäyttö,
yökäyttö,
poissaolo,
tehostus,
viikonloput 
tai joku muu esimerkiksi
käyttötapaan,
käyttöaikaan tai
ilmanvaihdon määrään 
liittyvä kuvaava termi.</t>
        </r>
      </text>
    </comment>
    <comment ref="C21" authorId="0">
      <text>
        <r>
          <rPr>
            <sz val="10"/>
            <rFont val="Tahoma"/>
            <family val="2"/>
          </rPr>
          <t>Ilmanvaihtokoneen palvelualueen keskimääräinen huonelämpötila lämmityskaudella.</t>
        </r>
      </text>
    </comment>
  </commentList>
</comments>
</file>

<file path=xl/sharedStrings.xml><?xml version="1.0" encoding="utf-8"?>
<sst xmlns="http://schemas.openxmlformats.org/spreadsheetml/2006/main" count="379" uniqueCount="133">
  <si>
    <t>Käyttötapa</t>
  </si>
  <si>
    <t>Mitoitus-</t>
  </si>
  <si>
    <t>Käyttö-</t>
  </si>
  <si>
    <t>Käyttöajan</t>
  </si>
  <si>
    <t>Käyntiaikatekijät</t>
  </si>
  <si>
    <t>Apusarake</t>
  </si>
  <si>
    <t>poistoilmavirta</t>
  </si>
  <si>
    <t>iImavirta-</t>
  </si>
  <si>
    <t>keskimääräinen</t>
  </si>
  <si>
    <t>painotettu</t>
  </si>
  <si>
    <t>m³/s</t>
  </si>
  <si>
    <t>kerroin</t>
  </si>
  <si>
    <t>poistoilmavirta, m³/s</t>
  </si>
  <si>
    <t>h/vrk</t>
  </si>
  <si>
    <t>vrk/vko</t>
  </si>
  <si>
    <t>Poistoilman lämmöntalteenottovaatimuksen</t>
  </si>
  <si>
    <t>Kone</t>
  </si>
  <si>
    <t>Palvelualue</t>
  </si>
  <si>
    <t>Aputaulukot, joilla voidaan laskea lämpöhäviöiden tasauslaskennassa tarvittavat</t>
  </si>
  <si>
    <t>Taulukko 1. Lämpimät tilat</t>
  </si>
  <si>
    <t>Taulukko 2. Lämpimät tilat</t>
  </si>
  <si>
    <t>Taulukko 3. Puolilämpimät tilat</t>
  </si>
  <si>
    <t>Taulukko 4. Puolilämpimät tilat</t>
  </si>
  <si>
    <r>
      <t>Poistoilmavirta, m³ 
[q</t>
    </r>
    <r>
      <rPr>
        <vertAlign val="subscript"/>
        <sz val="10"/>
        <rFont val="Arial"/>
        <family val="2"/>
      </rPr>
      <t>v, p</t>
    </r>
    <r>
      <rPr>
        <sz val="10"/>
        <rFont val="Arial"/>
        <family val="0"/>
      </rPr>
      <t>]</t>
    </r>
  </si>
  <si>
    <t>Lämmöntarveluvut</t>
  </si>
  <si>
    <t>(ts - tu)</t>
  </si>
  <si>
    <t>(ts - tj)</t>
  </si>
  <si>
    <t>tu</t>
  </si>
  <si>
    <t>Pysyvyys</t>
  </si>
  <si>
    <t>ts</t>
  </si>
  <si>
    <t>tj</t>
  </si>
  <si>
    <t>ttLTO</t>
  </si>
  <si>
    <t>RLTO</t>
  </si>
  <si>
    <t>SS</t>
  </si>
  <si>
    <t>ST</t>
  </si>
  <si>
    <t>SJ</t>
  </si>
  <si>
    <t>Helsinki-Vantaa testivuosi 1979</t>
  </si>
  <si>
    <t xml:space="preserve"> </t>
  </si>
  <si>
    <t>Jokioinen testivuosi 1979</t>
  </si>
  <si>
    <t>Jyväskylä testivuosi 1979</t>
  </si>
  <si>
    <t>Sodankylä testivuosi 1979</t>
  </si>
  <si>
    <t>kWh/a</t>
  </si>
  <si>
    <t>Ilmanvaihdon lämmitystarveluku ilman LTO:a</t>
  </si>
  <si>
    <t>Ilmanvaihdon lämpöenergia ilman LTO:a</t>
  </si>
  <si>
    <t>Tuloilman jälkilämmityspatterin asetuslämpötila, °C</t>
  </si>
  <si>
    <t>Ilmanvaihdon lämpöenergia LTO:lla</t>
  </si>
  <si>
    <t>Poistoilman lämpötilasuhde</t>
  </si>
  <si>
    <t>LTO:n vuosihyötysuhde</t>
  </si>
  <si>
    <t>Jälkilämmityspatterin lämmitystarveluku</t>
  </si>
  <si>
    <t>LTO:lla säästetty lämpöeneregia</t>
  </si>
  <si>
    <t>Jälkilämmityspatterin lämmitysenergia</t>
  </si>
  <si>
    <t>Ilmanvaihdon LTO:n tuloilman lämmitystarveluku (ST)</t>
  </si>
  <si>
    <t>Ilmanvaihdon LTO:n jäteilman lämmitystarveluku (SJ)</t>
  </si>
  <si>
    <t>Poistoilmavirta, dm³/s</t>
  </si>
  <si>
    <t>Sisälämpötila, °C</t>
  </si>
  <si>
    <t>dm³/s</t>
  </si>
  <si>
    <t>Jäteilman minimilämpötila, LTO:n jäätymissuojaus, °C</t>
  </si>
  <si>
    <t>Lämpöenergiat</t>
  </si>
  <si>
    <t>säästetty</t>
  </si>
  <si>
    <t>Ilmavirtasuhde R (tuloilma/poistoilma)</t>
  </si>
  <si>
    <t>ei LTO</t>
  </si>
  <si>
    <t>LTO:lla</t>
  </si>
  <si>
    <t>Jälkilämmityspatteri</t>
  </si>
  <si>
    <t>Lämmitysraja (maksimiulkolämpötila), °C</t>
  </si>
  <si>
    <t>(ttLTO-tt)</t>
  </si>
  <si>
    <t>ttLTO, max</t>
  </si>
  <si>
    <t>tj, min as</t>
  </si>
  <si>
    <t>tj, min</t>
  </si>
  <si>
    <t>ttjälkilämmitys</t>
  </si>
  <si>
    <t>tulo/poisto</t>
  </si>
  <si>
    <t>eri säävyöhykkeillä.</t>
  </si>
  <si>
    <t>Säävyöhyke</t>
  </si>
  <si>
    <t>Tuloilman lämpötilasuhde</t>
  </si>
  <si>
    <t>Tuloilmavirran suhde poistoilmavirtaan LTO:ssa</t>
  </si>
  <si>
    <t>Huonelämpötila</t>
  </si>
  <si>
    <t>°C</t>
  </si>
  <si>
    <t>Jäteilman minimilämpötila jäätymissuojauksessa</t>
  </si>
  <si>
    <t>tuloilmavirta</t>
  </si>
  <si>
    <t xml:space="preserve">Taulukko 1. Poistoilman lämmöntalteenottovaatimuksen piiriin kuuluvat lämpimien tilojen ilmanvaihtokoneet </t>
  </si>
  <si>
    <t>Taulukko 2. Poistoilman lämmöntalteenottovaatimuksen piiriin kuulumattomat lämpimien tilojen ilmanvaihtokoneet</t>
  </si>
  <si>
    <t>Taulukko 3. Poistoilman lämmöntalteenottovaatimuksen piiriin kuuluvat puolilämpimien tilojen ilmanvaihtokoneet</t>
  </si>
  <si>
    <t>Taulukko 4. Poistoilman lämmöntalteenottovaatimuksen piiriin kuulumattomat puolilämpimien tilojen ilmanvaihtokoneet</t>
  </si>
  <si>
    <t>piiriin kuuluvat ilmanvaihtokoneet</t>
  </si>
  <si>
    <t>piiriin kuulumattomat ilmanvaihtokoneet</t>
  </si>
  <si>
    <t>Tuloilman lämpötilasuhde yhtäsuurilla ilmavirroilla</t>
  </si>
  <si>
    <t>SFS-EN 308:n mukaan</t>
  </si>
  <si>
    <t>Rakennuskohde</t>
  </si>
  <si>
    <t>Rakennuslupatunnus</t>
  </si>
  <si>
    <t>Rakennustyyppi</t>
  </si>
  <si>
    <t>Pääsuunnittelija</t>
  </si>
  <si>
    <t>Päiväys</t>
  </si>
  <si>
    <t>Laskelman tekijä</t>
  </si>
  <si>
    <t xml:space="preserve">keskimääräiset poistoilmavirrat ja ilmanvaihdon lämmöntalteenoton (LTO) vuosihyötysuhteet, </t>
  </si>
  <si>
    <t>kun rakennuksessa on useita ilmanvaihtokoneita ja niillä erilaisia käyttöaikoja.</t>
  </si>
  <si>
    <t>Pientalokone</t>
  </si>
  <si>
    <t>Koko rakennus</t>
  </si>
  <si>
    <t>Jyväskylän TRY 2012 testivuosi</t>
  </si>
  <si>
    <t>Sodankylä TRY 2012 testivuosi</t>
  </si>
  <si>
    <t>Helsinki TRY 2012 testivuosi</t>
  </si>
  <si>
    <t>Huippuimuri</t>
  </si>
  <si>
    <t>Keittiön liesikupu</t>
  </si>
  <si>
    <t>Jatkuva</t>
  </si>
  <si>
    <t>Tehostus</t>
  </si>
  <si>
    <t>Muulloin</t>
  </si>
  <si>
    <t>1-kerroksinen pientalo, ikkunapinta-ala 15 % kerrostasoalasta.</t>
  </si>
  <si>
    <t>- " -</t>
  </si>
  <si>
    <t>RET-pientalo</t>
  </si>
  <si>
    <t>Jukka Talonen</t>
  </si>
  <si>
    <t>Lemmi Talteri</t>
  </si>
  <si>
    <t>III Jyväskylän TRY 2012 testivuosi</t>
  </si>
  <si>
    <t>IV Sodankylä TRY 2012 testivuosi</t>
  </si>
  <si>
    <t>I (II) Helsinki-Vantaa TRY 2012 testivuosi</t>
  </si>
  <si>
    <r>
      <t>Ilmanvaihdon LTO:n vuosihyötysuhde, %  [</t>
    </r>
    <r>
      <rPr>
        <sz val="10"/>
        <rFont val="Arial"/>
        <family val="2"/>
      </rPr>
      <t>η</t>
    </r>
    <r>
      <rPr>
        <vertAlign val="subscript"/>
        <sz val="10"/>
        <rFont val="Arial"/>
        <family val="2"/>
      </rPr>
      <t>a</t>
    </r>
    <r>
      <rPr>
        <sz val="10"/>
        <rFont val="Arial"/>
        <family val="0"/>
      </rPr>
      <t>]</t>
    </r>
  </si>
  <si>
    <t>Ilmanvaihtokoneen</t>
  </si>
  <si>
    <t>Käyntiajoilla</t>
  </si>
  <si>
    <t>Ilmanvaihtojärjestelmän ominaissähköteho, kW/(m³/s)</t>
  </si>
  <si>
    <t>ominaissähköteho</t>
  </si>
  <si>
    <t>kW/(m³/s)</t>
  </si>
  <si>
    <t>sähkönkulutus,</t>
  </si>
  <si>
    <t>Ilmanvaihtojärjestelmän sähkönkulutus, 
kWh/a</t>
  </si>
  <si>
    <r>
      <t>ilmanvaihtokoneen poistoilman lämmöntalteenoton (LTO) vuosihyötysuhde (η</t>
    </r>
    <r>
      <rPr>
        <b/>
        <vertAlign val="subscript"/>
        <sz val="11"/>
        <rFont val="Arial"/>
        <family val="2"/>
      </rPr>
      <t>a, ivkone</t>
    </r>
    <r>
      <rPr>
        <b/>
        <sz val="10"/>
        <rFont val="Arial"/>
        <family val="2"/>
      </rPr>
      <t>)</t>
    </r>
  </si>
  <si>
    <r>
      <t>Ilmanvaihtokoneen poistoilman lämmöntalteenoton vuosihyötysuhde (η</t>
    </r>
    <r>
      <rPr>
        <b/>
        <vertAlign val="subscript"/>
        <sz val="11"/>
        <rFont val="Arial"/>
        <family val="2"/>
      </rPr>
      <t>a, ivkone</t>
    </r>
    <r>
      <rPr>
        <b/>
        <sz val="10"/>
        <rFont val="Arial"/>
        <family val="2"/>
      </rPr>
      <t>)</t>
    </r>
  </si>
  <si>
    <t>Aputaulukko, jolla voidaan laskea lämpöhäviöiden tasauslaskentaa varten</t>
  </si>
  <si>
    <t>LTO:n vuosihyötysuhde,</t>
  </si>
  <si>
    <r>
      <t>% [η</t>
    </r>
    <r>
      <rPr>
        <vertAlign val="subscript"/>
        <sz val="10"/>
        <rFont val="Arial"/>
        <family val="2"/>
      </rPr>
      <t>a, ivkone</t>
    </r>
    <r>
      <rPr>
        <sz val="10"/>
        <rFont val="Arial"/>
        <family val="0"/>
      </rPr>
      <t>]</t>
    </r>
  </si>
  <si>
    <r>
      <t>t</t>
    </r>
    <r>
      <rPr>
        <vertAlign val="subscript"/>
        <sz val="10"/>
        <rFont val="Arial"/>
        <family val="2"/>
      </rPr>
      <t>d</t>
    </r>
  </si>
  <si>
    <r>
      <t>t</t>
    </r>
    <r>
      <rPr>
        <vertAlign val="subscript"/>
        <sz val="10"/>
        <rFont val="Arial"/>
        <family val="2"/>
      </rPr>
      <t>w</t>
    </r>
  </si>
  <si>
    <r>
      <t>η</t>
    </r>
    <r>
      <rPr>
        <vertAlign val="subscript"/>
        <sz val="12"/>
        <color indexed="9"/>
        <rFont val="Arial"/>
        <family val="2"/>
      </rPr>
      <t>a</t>
    </r>
    <r>
      <rPr>
        <sz val="12"/>
        <color indexed="9"/>
        <rFont val="Arial"/>
        <family val="2"/>
      </rPr>
      <t xml:space="preserve"> =</t>
    </r>
  </si>
  <si>
    <r>
      <t>η</t>
    </r>
    <r>
      <rPr>
        <vertAlign val="subscript"/>
        <sz val="12"/>
        <color indexed="9"/>
        <rFont val="Arial"/>
        <family val="2"/>
      </rPr>
      <t>t</t>
    </r>
  </si>
  <si>
    <r>
      <t>η</t>
    </r>
    <r>
      <rPr>
        <vertAlign val="subscript"/>
        <sz val="12"/>
        <color indexed="9"/>
        <rFont val="Arial"/>
        <family val="2"/>
      </rPr>
      <t>p</t>
    </r>
  </si>
  <si>
    <t>© Ympäristöministeriö, LTO-laskin 2012 (versio marraskuu 2011)</t>
  </si>
  <si>
    <t>esimerkki</t>
  </si>
  <si>
    <t>TASAUSLASKENTA-LOMAKKEESEEN</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</si>
</sst>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mk&quot;_-;\-* #,##0\ &quot;mk&quot;_-;_-* &quot;-&quot;\ &quot;mk&quot;_-;_-@_-"/>
    <numFmt numFmtId="165" formatCode="_-* #,##0\ _m_k_-;\-* #,##0\ _m_k_-;_-* &quot;-&quot;\ _m_k_-;_-@_-"/>
    <numFmt numFmtId="166" formatCode="_-* #,##0.00\ &quot;mk&quot;_-;\-* #,##0.00\ &quot;mk&quot;_-;_-* &quot;-&quot;??\ &quot;mk&quot;_-;_-@_-"/>
    <numFmt numFmtId="167" formatCode="_-* #,##0.00\ _m_k_-;\-* #,##0.00\ _m_k_-;_-* &quot;-&quot;??\ _m_k_-;_-@_-"/>
    <numFmt numFmtId="168" formatCode="0.0"/>
    <numFmt numFmtId="169" formatCode="0.000"/>
    <numFmt numFmtId="170" formatCode="_-* #,##0.00\ ___m_k_-;\-* #,##0.00\ ___m_k_-;_-* &quot;-&quot;??\ ___m_k_-;_-@_-"/>
    <numFmt numFmtId="171" formatCode="_-* #,##0\ ___m_k_-;\-* #,##0\ ___m_k_-;_-* &quot;-&quot;??\ ___m_k_-;_-@_-"/>
    <numFmt numFmtId="172" formatCode="#,###.0;#,###.0;&quot;-&quot;"/>
    <numFmt numFmtId="173" formatCode="0\ %;;&quot;&quot;"/>
    <numFmt numFmtId="174" formatCode="#,###;\-#,###;&quot;-&quot;"/>
    <numFmt numFmtId="175" formatCode="#,###.0&quot;   1)&quot;;\-#,###.0&quot;   1)&quot;;&quot;-   1)&quot;"/>
    <numFmt numFmtId="176" formatCode="#,###.0;\-#,###.0;&quot;&quot;"/>
    <numFmt numFmtId="177" formatCode="#,###;\-#,###;&quot;&quot;"/>
    <numFmt numFmtId="178" formatCode="#,###&quot; W/K&quot;;\-#,###&quot; W/K&quot;;&quot;&quot;"/>
    <numFmt numFmtId="179" formatCode="#,##0&quot; m²&quot;;\-#,##0&quot; m²&quot;;&quot;&quot;"/>
    <numFmt numFmtId="180" formatCode="#,##0;\-#,##0;&quot;&quot;"/>
    <numFmt numFmtId="181" formatCode="#,##0.0;\-#,##0.0;&quot;&quot;"/>
    <numFmt numFmtId="182" formatCode="#,##0.000;\-#,##0.000;&quot;&quot;"/>
    <numFmt numFmtId="183" formatCode="#,##0.0;\-#,##0.0;&quot;-&quot;"/>
    <numFmt numFmtId="184" formatCode="#,##0.0"/>
    <numFmt numFmtId="185" formatCode="#,###.0;\-#,###.0;&quot;-&quot;"/>
    <numFmt numFmtId="186" formatCode="#,##0.0000;\-#,##0.0000;&quot;&quot;"/>
    <numFmt numFmtId="187" formatCode="#,##0.00;;&quot;&quot;"/>
    <numFmt numFmtId="188" formatCode="#,##0.0;;&quot;&quot;"/>
    <numFmt numFmtId="189" formatCode="#,##0;\-#,##0;&quot;-&quot;"/>
    <numFmt numFmtId="190" formatCode="#,##0.00;\-#,##0.00;&quot;&quot;"/>
    <numFmt numFmtId="191" formatCode="#,##0.00000;\-#,##0.00000;&quot;&quot;"/>
    <numFmt numFmtId="192" formatCode="#,##0.000000;\-#,##0.000000;&quot;&quot;"/>
    <numFmt numFmtId="193" formatCode="0.0000"/>
    <numFmt numFmtId="194" formatCode="&quot;Yes&quot;;&quot;Yes&quot;;&quot;No&quot;"/>
    <numFmt numFmtId="195" formatCode="&quot;True&quot;;&quot;True&quot;;&quot;False&quot;"/>
    <numFmt numFmtId="196" formatCode="&quot;On&quot;;&quot;On&quot;;&quot;Off&quot;"/>
    <numFmt numFmtId="197" formatCode="[$€-2]\ #,##0.00_);[Red]\([$€-2]\ #,##0.00\)"/>
    <numFmt numFmtId="198" formatCode="#,##0.000;;&quot;&quot;"/>
    <numFmt numFmtId="199" formatCode="#,###.###"/>
    <numFmt numFmtId="200" formatCode="#,###.####"/>
    <numFmt numFmtId="201" formatCode="#,###.#####"/>
    <numFmt numFmtId="202" formatCode="#,###.##"/>
    <numFmt numFmtId="203" formatCode="#,###.#"/>
    <numFmt numFmtId="204" formatCode="#,###"/>
    <numFmt numFmtId="205" formatCode="#,###.0"/>
    <numFmt numFmtId="206" formatCode="#,###.00"/>
    <numFmt numFmtId="207" formatCode="#,###.000"/>
    <numFmt numFmtId="208" formatCode="#,##0.000"/>
    <numFmt numFmtId="209" formatCode="0.00000000"/>
    <numFmt numFmtId="210" formatCode="0.0000000"/>
    <numFmt numFmtId="211" formatCode="0.000000"/>
    <numFmt numFmtId="212" formatCode="0.00000"/>
    <numFmt numFmtId="213" formatCode="0.0\ %"/>
    <numFmt numFmtId="214" formatCode="[$-40B]d\.\ mmmm&quot;ta &quot;yyyy"/>
  </numFmts>
  <fonts count="6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b/>
      <sz val="8"/>
      <name val="Tahoma"/>
      <family val="0"/>
    </font>
    <font>
      <sz val="10"/>
      <color indexed="8"/>
      <name val="Arial"/>
      <family val="2"/>
    </font>
    <font>
      <sz val="10"/>
      <color indexed="10"/>
      <name val="Arial"/>
      <family val="0"/>
    </font>
    <font>
      <b/>
      <sz val="12"/>
      <name val="Arial"/>
      <family val="2"/>
    </font>
    <font>
      <sz val="9"/>
      <name val="Arial"/>
      <family val="0"/>
    </font>
    <font>
      <vertAlign val="subscript"/>
      <sz val="10"/>
      <name val="Arial"/>
      <family val="2"/>
    </font>
    <font>
      <b/>
      <sz val="10"/>
      <color indexed="10"/>
      <name val="Arial"/>
      <family val="0"/>
    </font>
    <font>
      <b/>
      <vertAlign val="subscript"/>
      <sz val="11"/>
      <name val="Arial"/>
      <family val="2"/>
    </font>
    <font>
      <sz val="10"/>
      <color indexed="9"/>
      <name val="Arial"/>
      <family val="0"/>
    </font>
    <font>
      <b/>
      <sz val="10"/>
      <color indexed="9"/>
      <name val="Arial"/>
      <family val="0"/>
    </font>
    <font>
      <sz val="10"/>
      <name val="Helvetica"/>
      <family val="2"/>
    </font>
    <font>
      <b/>
      <sz val="10"/>
      <color indexed="8"/>
      <name val="Arial"/>
      <family val="2"/>
    </font>
    <font>
      <b/>
      <sz val="10"/>
      <color indexed="10"/>
      <name val="Arial Narrow"/>
      <family val="2"/>
    </font>
    <font>
      <sz val="10"/>
      <name val="Tahoma"/>
      <family val="2"/>
    </font>
    <font>
      <sz val="10"/>
      <name val="Symbol"/>
      <family val="1"/>
    </font>
    <font>
      <vertAlign val="subscript"/>
      <sz val="10"/>
      <name val="Tahoma"/>
      <family val="2"/>
    </font>
    <font>
      <sz val="12"/>
      <color indexed="9"/>
      <name val="Arial"/>
      <family val="2"/>
    </font>
    <font>
      <vertAlign val="subscrip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Arial"/>
      <family val="2"/>
    </font>
    <font>
      <sz val="12"/>
      <color theme="0"/>
      <name val="Arial"/>
      <family val="2"/>
    </font>
    <font>
      <b/>
      <sz val="10"/>
      <color theme="0"/>
      <name val="Arial"/>
      <family val="2"/>
    </font>
    <font>
      <b/>
      <sz val="10"/>
      <color theme="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0">
    <xf numFmtId="0" fontId="0" fillId="0" borderId="0" xfId="0" applyAlignment="1">
      <alignment/>
    </xf>
    <xf numFmtId="0" fontId="0" fillId="0" borderId="0" xfId="0" applyAlignment="1" applyProtection="1">
      <alignment/>
      <protection hidden="1"/>
    </xf>
    <xf numFmtId="0" fontId="9" fillId="0" borderId="0" xfId="0" applyFont="1" applyBorder="1" applyAlignment="1" applyProtection="1">
      <alignment/>
      <protection hidden="1"/>
    </xf>
    <xf numFmtId="0" fontId="1" fillId="0" borderId="0" xfId="0" applyFont="1" applyAlignment="1" applyProtection="1">
      <alignment/>
      <protection hidden="1"/>
    </xf>
    <xf numFmtId="0" fontId="0" fillId="0" borderId="10" xfId="0" applyBorder="1" applyAlignment="1" applyProtection="1">
      <alignment horizontal="left"/>
      <protection hidden="1"/>
    </xf>
    <xf numFmtId="0" fontId="0" fillId="0" borderId="10" xfId="0" applyBorder="1" applyAlignment="1" applyProtection="1">
      <alignment/>
      <protection hidden="1"/>
    </xf>
    <xf numFmtId="0" fontId="0" fillId="0" borderId="0" xfId="0" applyFont="1" applyBorder="1" applyAlignment="1" applyProtection="1">
      <alignment/>
      <protection hidden="1"/>
    </xf>
    <xf numFmtId="0" fontId="8" fillId="33" borderId="10" xfId="0" applyFont="1" applyFill="1" applyBorder="1" applyAlignment="1" applyProtection="1">
      <alignment vertical="top" wrapText="1"/>
      <protection locked="0"/>
    </xf>
    <xf numFmtId="0" fontId="8" fillId="33" borderId="10" xfId="0" applyFont="1" applyFill="1" applyBorder="1" applyAlignment="1" applyProtection="1">
      <alignment horizontal="center" vertical="top" wrapText="1"/>
      <protection locked="0"/>
    </xf>
    <xf numFmtId="0" fontId="8" fillId="33" borderId="10" xfId="0" applyFont="1" applyFill="1" applyBorder="1" applyAlignment="1" applyProtection="1">
      <alignment vertical="center" wrapText="1"/>
      <protection locked="0"/>
    </xf>
    <xf numFmtId="2" fontId="0" fillId="33" borderId="10" xfId="0" applyNumberFormat="1" applyFill="1" applyBorder="1" applyAlignment="1" applyProtection="1">
      <alignment/>
      <protection locked="0"/>
    </xf>
    <xf numFmtId="168" fontId="0" fillId="33" borderId="10" xfId="0" applyNumberFormat="1" applyFill="1" applyBorder="1" applyAlignment="1" applyProtection="1">
      <alignment/>
      <protection locked="0"/>
    </xf>
    <xf numFmtId="0" fontId="8" fillId="33"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right" vertical="center" wrapText="1"/>
      <protection locked="0"/>
    </xf>
    <xf numFmtId="169" fontId="0" fillId="0" borderId="10" xfId="0" applyNumberFormat="1" applyBorder="1" applyAlignment="1" applyProtection="1">
      <alignment horizontal="center" vertical="center"/>
      <protection hidden="1"/>
    </xf>
    <xf numFmtId="9" fontId="6" fillId="0" borderId="0" xfId="0" applyNumberFormat="1" applyFont="1" applyAlignment="1" applyProtection="1">
      <alignment/>
      <protection hidden="1"/>
    </xf>
    <xf numFmtId="0" fontId="6" fillId="0" borderId="0" xfId="0" applyFont="1" applyAlignment="1" applyProtection="1">
      <alignment/>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2" fontId="0" fillId="0" borderId="10" xfId="0" applyNumberFormat="1" applyFill="1" applyBorder="1" applyAlignment="1" applyProtection="1">
      <alignment/>
      <protection hidden="1"/>
    </xf>
    <xf numFmtId="9" fontId="0" fillId="0" borderId="0" xfId="59" applyNumberFormat="1" applyFont="1" applyFill="1" applyBorder="1" applyAlignment="1" applyProtection="1">
      <alignment/>
      <protection hidden="1"/>
    </xf>
    <xf numFmtId="9" fontId="0" fillId="34" borderId="10" xfId="59" applyNumberFormat="1" applyFont="1" applyFill="1" applyBorder="1" applyAlignment="1" applyProtection="1">
      <alignment/>
      <protection hidden="1" locked="0"/>
    </xf>
    <xf numFmtId="0" fontId="15" fillId="0" borderId="0" xfId="0" applyFont="1" applyBorder="1" applyAlignment="1" applyProtection="1">
      <alignment/>
      <protection hidden="1"/>
    </xf>
    <xf numFmtId="2" fontId="15" fillId="0" borderId="0" xfId="59" applyNumberFormat="1" applyFont="1" applyBorder="1" applyAlignment="1" applyProtection="1">
      <alignment/>
      <protection hidden="1"/>
    </xf>
    <xf numFmtId="168" fontId="15" fillId="0" borderId="0" xfId="0" applyNumberFormat="1" applyFont="1" applyBorder="1" applyAlignment="1" applyProtection="1">
      <alignment horizontal="left"/>
      <protection hidden="1"/>
    </xf>
    <xf numFmtId="0" fontId="9" fillId="0" borderId="0" xfId="0" applyFont="1" applyAlignment="1" applyProtection="1">
      <alignment/>
      <protection hidden="1"/>
    </xf>
    <xf numFmtId="0" fontId="15" fillId="0" borderId="0" xfId="0" applyFont="1" applyAlignment="1" applyProtection="1">
      <alignment/>
      <protection hidden="1"/>
    </xf>
    <xf numFmtId="0" fontId="11" fillId="0" borderId="0" xfId="0" applyFont="1" applyAlignment="1" applyProtection="1">
      <alignment/>
      <protection hidden="1"/>
    </xf>
    <xf numFmtId="0" fontId="0" fillId="0" borderId="10" xfId="0" applyBorder="1" applyAlignment="1" applyProtection="1">
      <alignment horizontal="center" vertical="center" wrapText="1"/>
      <protection hidden="1"/>
    </xf>
    <xf numFmtId="0" fontId="10" fillId="0" borderId="14" xfId="0" applyFont="1" applyBorder="1" applyAlignment="1" applyProtection="1">
      <alignment/>
      <protection hidden="1"/>
    </xf>
    <xf numFmtId="0" fontId="0" fillId="0" borderId="14" xfId="0" applyBorder="1" applyAlignment="1" applyProtection="1">
      <alignment/>
      <protection hidden="1"/>
    </xf>
    <xf numFmtId="0" fontId="0" fillId="0" borderId="11" xfId="0" applyBorder="1" applyAlignment="1" applyProtection="1">
      <alignment/>
      <protection hidden="1"/>
    </xf>
    <xf numFmtId="0" fontId="0" fillId="0" borderId="15" xfId="0" applyBorder="1" applyAlignment="1" applyProtection="1">
      <alignment horizontal="center"/>
      <protection hidden="1"/>
    </xf>
    <xf numFmtId="0" fontId="0" fillId="0" borderId="12" xfId="0" applyBorder="1" applyAlignment="1" applyProtection="1">
      <alignment/>
      <protection hidden="1"/>
    </xf>
    <xf numFmtId="0" fontId="0" fillId="0" borderId="11" xfId="0" applyBorder="1" applyAlignment="1" applyProtection="1">
      <alignment horizontal="left"/>
      <protection hidden="1"/>
    </xf>
    <xf numFmtId="0" fontId="0" fillId="0" borderId="10" xfId="0" applyBorder="1" applyAlignment="1" applyProtection="1">
      <alignment horizontal="center"/>
      <protection hidden="1"/>
    </xf>
    <xf numFmtId="0" fontId="0" fillId="0" borderId="16" xfId="0" applyBorder="1" applyAlignment="1" applyProtection="1">
      <alignment horizontal="center"/>
      <protection hidden="1"/>
    </xf>
    <xf numFmtId="1" fontId="9" fillId="0" borderId="0" xfId="0" applyNumberFormat="1" applyFont="1" applyBorder="1" applyAlignment="1" applyProtection="1">
      <alignment/>
      <protection hidden="1"/>
    </xf>
    <xf numFmtId="1" fontId="15" fillId="0" borderId="0" xfId="0" applyNumberFormat="1" applyFont="1" applyBorder="1" applyAlignment="1" applyProtection="1">
      <alignment/>
      <protection hidden="1"/>
    </xf>
    <xf numFmtId="1" fontId="13" fillId="0" borderId="0" xfId="59" applyNumberFormat="1" applyFont="1" applyBorder="1" applyAlignment="1" applyProtection="1">
      <alignment/>
      <protection hidden="1"/>
    </xf>
    <xf numFmtId="1" fontId="16" fillId="0" borderId="0" xfId="59" applyNumberFormat="1" applyFont="1" applyBorder="1" applyAlignment="1" applyProtection="1">
      <alignment/>
      <protection hidden="1"/>
    </xf>
    <xf numFmtId="9" fontId="15" fillId="0" borderId="0" xfId="59" applyFont="1" applyBorder="1" applyAlignment="1" applyProtection="1">
      <alignment/>
      <protection hidden="1"/>
    </xf>
    <xf numFmtId="0" fontId="0" fillId="0" borderId="0" xfId="0" applyBorder="1" applyAlignment="1" applyProtection="1">
      <alignment/>
      <protection hidden="1"/>
    </xf>
    <xf numFmtId="9" fontId="2" fillId="0" borderId="0" xfId="59" applyFont="1" applyBorder="1" applyAlignment="1" applyProtection="1">
      <alignment horizontal="center"/>
      <protection hidden="1"/>
    </xf>
    <xf numFmtId="0" fontId="0" fillId="0" borderId="0" xfId="0" applyFont="1" applyFill="1" applyBorder="1" applyAlignment="1" applyProtection="1">
      <alignment vertical="top" wrapText="1"/>
      <protection hidden="1"/>
    </xf>
    <xf numFmtId="0" fontId="0" fillId="0" borderId="0" xfId="0" applyFont="1" applyFill="1" applyBorder="1" applyAlignment="1" applyProtection="1">
      <alignment horizontal="center" vertical="top" wrapText="1"/>
      <protection hidden="1"/>
    </xf>
    <xf numFmtId="168" fontId="0" fillId="0" borderId="0" xfId="0" applyNumberFormat="1" applyBorder="1" applyAlignment="1" applyProtection="1">
      <alignment horizontal="center"/>
      <protection hidden="1"/>
    </xf>
    <xf numFmtId="0" fontId="8" fillId="0" borderId="0" xfId="0" applyFont="1" applyFill="1" applyBorder="1" applyAlignment="1" applyProtection="1">
      <alignment horizontal="right" vertical="top" wrapText="1"/>
      <protection hidden="1"/>
    </xf>
    <xf numFmtId="2" fontId="0" fillId="0" borderId="0" xfId="0" applyNumberFormat="1" applyBorder="1" applyAlignment="1" applyProtection="1">
      <alignment horizontal="center"/>
      <protection hidden="1"/>
    </xf>
    <xf numFmtId="9" fontId="0" fillId="0" borderId="0" xfId="0" applyNumberFormat="1" applyFill="1" applyBorder="1" applyAlignment="1" applyProtection="1">
      <alignment/>
      <protection hidden="1"/>
    </xf>
    <xf numFmtId="0" fontId="0" fillId="0" borderId="0" xfId="0" applyFont="1" applyFill="1" applyAlignment="1" applyProtection="1">
      <alignment/>
      <protection hidden="1"/>
    </xf>
    <xf numFmtId="169" fontId="1" fillId="35" borderId="10" xfId="0" applyNumberFormat="1" applyFont="1" applyFill="1" applyBorder="1" applyAlignment="1" applyProtection="1">
      <alignment horizontal="center"/>
      <protection hidden="1" locked="0"/>
    </xf>
    <xf numFmtId="0" fontId="0" fillId="0" borderId="0" xfId="0" applyAlignment="1" applyProtection="1">
      <alignment horizontal="left"/>
      <protection hidden="1"/>
    </xf>
    <xf numFmtId="0" fontId="17" fillId="0" borderId="10" xfId="0" applyFont="1" applyFill="1" applyBorder="1" applyAlignment="1" applyProtection="1">
      <alignment horizontal="left"/>
      <protection hidden="1"/>
    </xf>
    <xf numFmtId="0" fontId="6" fillId="0" borderId="0" xfId="0" applyFont="1" applyBorder="1" applyAlignment="1" applyProtection="1">
      <alignment/>
      <protection hidden="1"/>
    </xf>
    <xf numFmtId="0" fontId="15" fillId="0" borderId="10" xfId="0" applyFont="1" applyFill="1" applyBorder="1" applyAlignment="1" applyProtection="1">
      <alignment horizontal="right" vertical="center" wrapText="1"/>
      <protection hidden="1"/>
    </xf>
    <xf numFmtId="0" fontId="18" fillId="33" borderId="10" xfId="0" applyFont="1" applyFill="1" applyBorder="1" applyAlignment="1" applyProtection="1">
      <alignment horizontal="center" vertical="center" wrapText="1"/>
      <protection locked="0"/>
    </xf>
    <xf numFmtId="0" fontId="0" fillId="0" borderId="0" xfId="0" applyFont="1" applyAlignment="1">
      <alignment/>
    </xf>
    <xf numFmtId="169" fontId="0" fillId="0" borderId="10" xfId="0" applyNumberFormat="1" applyBorder="1" applyAlignment="1" applyProtection="1">
      <alignment horizontal="center"/>
      <protection hidden="1"/>
    </xf>
    <xf numFmtId="0" fontId="19" fillId="0" borderId="0" xfId="0" applyFont="1" applyFill="1" applyBorder="1" applyAlignment="1" applyProtection="1">
      <alignment/>
      <protection/>
    </xf>
    <xf numFmtId="0" fontId="8" fillId="33" borderId="10" xfId="0" applyFont="1" applyFill="1" applyBorder="1" applyAlignment="1" applyProtection="1" quotePrefix="1">
      <alignment vertical="center" wrapText="1"/>
      <protection locked="0"/>
    </xf>
    <xf numFmtId="0" fontId="15" fillId="0" borderId="15" xfId="0" applyFont="1" applyFill="1" applyBorder="1" applyAlignment="1" applyProtection="1">
      <alignment horizontal="right" vertical="center" wrapText="1"/>
      <protection hidden="1"/>
    </xf>
    <xf numFmtId="0" fontId="0" fillId="0" borderId="17" xfId="0" applyBorder="1" applyAlignment="1" applyProtection="1">
      <alignment horizontal="center"/>
      <protection hidden="1"/>
    </xf>
    <xf numFmtId="0" fontId="8" fillId="33" borderId="18" xfId="0" applyFont="1" applyFill="1" applyBorder="1" applyAlignment="1" applyProtection="1">
      <alignment horizontal="right" vertical="center" wrapText="1"/>
      <protection locked="0"/>
    </xf>
    <xf numFmtId="9" fontId="0" fillId="0" borderId="10" xfId="59" applyNumberFormat="1" applyFont="1" applyFill="1" applyBorder="1" applyAlignment="1" applyProtection="1">
      <alignment/>
      <protection hidden="1"/>
    </xf>
    <xf numFmtId="9" fontId="9" fillId="0" borderId="0" xfId="59" applyFont="1" applyBorder="1" applyAlignment="1" applyProtection="1">
      <alignment/>
      <protection hidden="1"/>
    </xf>
    <xf numFmtId="193" fontId="15" fillId="0" borderId="0" xfId="59" applyNumberFormat="1" applyFont="1" applyBorder="1" applyAlignment="1" applyProtection="1">
      <alignment/>
      <protection hidden="1"/>
    </xf>
    <xf numFmtId="2" fontId="15" fillId="0" borderId="0" xfId="0" applyNumberFormat="1" applyFont="1" applyBorder="1" applyAlignment="1" applyProtection="1">
      <alignment/>
      <protection hidden="1"/>
    </xf>
    <xf numFmtId="0" fontId="21" fillId="0" borderId="18" xfId="0" applyFont="1" applyBorder="1" applyAlignment="1" applyProtection="1">
      <alignment horizontal="center"/>
      <protection hidden="1"/>
    </xf>
    <xf numFmtId="0" fontId="21" fillId="0" borderId="19" xfId="0" applyFont="1" applyBorder="1" applyAlignment="1" applyProtection="1">
      <alignment horizontal="center"/>
      <protection hidden="1"/>
    </xf>
    <xf numFmtId="0" fontId="61" fillId="0" borderId="0" xfId="0" applyFont="1" applyBorder="1" applyAlignment="1" applyProtection="1">
      <alignment/>
      <protection hidden="1"/>
    </xf>
    <xf numFmtId="0" fontId="62" fillId="0" borderId="0" xfId="0" applyFont="1" applyBorder="1" applyAlignment="1" applyProtection="1">
      <alignment/>
      <protection hidden="1"/>
    </xf>
    <xf numFmtId="0" fontId="61" fillId="0" borderId="0" xfId="0" applyFont="1" applyAlignment="1" applyProtection="1">
      <alignment/>
      <protection hidden="1"/>
    </xf>
    <xf numFmtId="0" fontId="62" fillId="0" borderId="0" xfId="0" applyFont="1" applyAlignment="1">
      <alignment/>
    </xf>
    <xf numFmtId="0" fontId="61" fillId="0" borderId="0" xfId="0" applyFont="1" applyAlignment="1" applyProtection="1">
      <alignment horizontal="right"/>
      <protection hidden="1"/>
    </xf>
    <xf numFmtId="0" fontId="62" fillId="0" borderId="0" xfId="0" applyFont="1" applyAlignment="1" applyProtection="1">
      <alignment horizontal="left"/>
      <protection hidden="1"/>
    </xf>
    <xf numFmtId="1" fontId="61" fillId="0" borderId="0" xfId="0" applyNumberFormat="1" applyFont="1" applyAlignment="1" applyProtection="1">
      <alignment/>
      <protection hidden="1"/>
    </xf>
    <xf numFmtId="3" fontId="61" fillId="0" borderId="0" xfId="0" applyNumberFormat="1" applyFont="1" applyAlignment="1" applyProtection="1">
      <alignment/>
      <protection hidden="1"/>
    </xf>
    <xf numFmtId="0" fontId="62" fillId="0" borderId="0" xfId="0" applyFont="1" applyAlignment="1" applyProtection="1">
      <alignment/>
      <protection hidden="1"/>
    </xf>
    <xf numFmtId="2" fontId="61" fillId="0" borderId="0" xfId="0" applyNumberFormat="1" applyFont="1" applyAlignment="1" applyProtection="1">
      <alignment/>
      <protection hidden="1"/>
    </xf>
    <xf numFmtId="213" fontId="61" fillId="0" borderId="0" xfId="0" applyNumberFormat="1" applyFont="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horizontal="right"/>
      <protection hidden="1"/>
    </xf>
    <xf numFmtId="0" fontId="63" fillId="0" borderId="0" xfId="0" applyFont="1" applyFill="1" applyBorder="1" applyAlignment="1" applyProtection="1">
      <alignment horizontal="right"/>
      <protection hidden="1"/>
    </xf>
    <xf numFmtId="213" fontId="64" fillId="0" borderId="0" xfId="59" applyNumberFormat="1" applyFont="1" applyFill="1" applyBorder="1" applyAlignment="1" applyProtection="1">
      <alignment horizontal="left"/>
      <protection hidden="1"/>
    </xf>
    <xf numFmtId="0" fontId="64" fillId="0" borderId="0" xfId="0" applyFont="1" applyFill="1" applyBorder="1" applyAlignment="1" applyProtection="1">
      <alignment/>
      <protection hidden="1"/>
    </xf>
    <xf numFmtId="2" fontId="61" fillId="0" borderId="0" xfId="0" applyNumberFormat="1" applyFont="1" applyFill="1" applyBorder="1" applyAlignment="1" applyProtection="1">
      <alignment/>
      <protection hidden="1"/>
    </xf>
    <xf numFmtId="1" fontId="64" fillId="0" borderId="0" xfId="0" applyNumberFormat="1" applyFont="1" applyFill="1" applyBorder="1" applyAlignment="1" applyProtection="1">
      <alignment/>
      <protection hidden="1"/>
    </xf>
    <xf numFmtId="193" fontId="61" fillId="0" borderId="0" xfId="0" applyNumberFormat="1" applyFont="1" applyFill="1" applyBorder="1" applyAlignment="1" applyProtection="1">
      <alignment/>
      <protection hidden="1"/>
    </xf>
    <xf numFmtId="14" fontId="61" fillId="0" borderId="0" xfId="0" applyNumberFormat="1" applyFont="1" applyAlignment="1" applyProtection="1">
      <alignment/>
      <protection hidden="1"/>
    </xf>
    <xf numFmtId="168" fontId="61" fillId="0" borderId="0" xfId="0" applyNumberFormat="1" applyFont="1" applyFill="1" applyBorder="1" applyAlignment="1" applyProtection="1">
      <alignment/>
      <protection hidden="1"/>
    </xf>
    <xf numFmtId="0" fontId="61" fillId="0" borderId="0" xfId="0" applyFont="1" applyFill="1" applyBorder="1" applyAlignment="1" applyProtection="1" quotePrefix="1">
      <alignment horizontal="right"/>
      <protection hidden="1"/>
    </xf>
    <xf numFmtId="0" fontId="61" fillId="0" borderId="0" xfId="0" applyFont="1" applyAlignment="1">
      <alignment/>
    </xf>
    <xf numFmtId="1" fontId="61" fillId="0" borderId="0" xfId="0" applyNumberFormat="1" applyFont="1" applyFill="1" applyBorder="1" applyAlignment="1" applyProtection="1">
      <alignment/>
      <protection hidden="1"/>
    </xf>
    <xf numFmtId="0" fontId="61" fillId="0" borderId="0" xfId="0" applyFont="1" applyBorder="1" applyAlignment="1" applyProtection="1">
      <alignment horizontal="right"/>
      <protection hidden="1"/>
    </xf>
    <xf numFmtId="2" fontId="64" fillId="0" borderId="0" xfId="0" applyNumberFormat="1" applyFont="1" applyFill="1" applyBorder="1" applyAlignment="1" applyProtection="1">
      <alignment/>
      <protection hidden="1"/>
    </xf>
    <xf numFmtId="169" fontId="61" fillId="0" borderId="0" xfId="0" applyNumberFormat="1" applyFont="1" applyFill="1" applyBorder="1" applyAlignment="1" applyProtection="1">
      <alignment/>
      <protection hidden="1"/>
    </xf>
    <xf numFmtId="168" fontId="61" fillId="0" borderId="0" xfId="0" applyNumberFormat="1" applyFont="1" applyBorder="1" applyAlignment="1" applyProtection="1">
      <alignment/>
      <protection hidden="1"/>
    </xf>
    <xf numFmtId="2" fontId="61" fillId="0" borderId="0" xfId="0" applyNumberFormat="1" applyFont="1" applyBorder="1" applyAlignment="1" applyProtection="1">
      <alignment/>
      <protection hidden="1"/>
    </xf>
    <xf numFmtId="169" fontId="61" fillId="0" borderId="0" xfId="0" applyNumberFormat="1" applyFont="1" applyBorder="1" applyAlignment="1" applyProtection="1">
      <alignment/>
      <protection hidden="1"/>
    </xf>
    <xf numFmtId="168" fontId="61" fillId="0" borderId="0" xfId="0" applyNumberFormat="1" applyFont="1" applyAlignment="1" applyProtection="1">
      <alignment/>
      <protection hidden="1"/>
    </xf>
    <xf numFmtId="2" fontId="61" fillId="0" borderId="0" xfId="0" applyNumberFormat="1" applyFont="1" applyFill="1" applyAlignment="1" applyProtection="1">
      <alignment/>
      <protection hidden="1"/>
    </xf>
    <xf numFmtId="1" fontId="61" fillId="0" borderId="0" xfId="0" applyNumberFormat="1" applyFont="1" applyFill="1" applyAlignment="1" applyProtection="1">
      <alignment/>
      <protection hidden="1"/>
    </xf>
    <xf numFmtId="169" fontId="61" fillId="0" borderId="0" xfId="0" applyNumberFormat="1" applyFont="1" applyAlignment="1" applyProtection="1">
      <alignment/>
      <protection hidden="1"/>
    </xf>
    <xf numFmtId="0" fontId="61" fillId="0" borderId="0" xfId="0" applyFont="1" applyAlignment="1" applyProtection="1">
      <alignment/>
      <protection hidden="1"/>
    </xf>
    <xf numFmtId="0" fontId="61" fillId="0" borderId="0" xfId="0" applyFont="1" applyFill="1" applyAlignment="1" applyProtection="1">
      <alignment/>
      <protection hidden="1"/>
    </xf>
    <xf numFmtId="0" fontId="61" fillId="0" borderId="0" xfId="0" applyFont="1" applyFill="1" applyAlignment="1" applyProtection="1">
      <alignment/>
      <protection hidden="1"/>
    </xf>
    <xf numFmtId="168" fontId="61" fillId="0" borderId="0" xfId="0" applyNumberFormat="1" applyFont="1" applyFill="1" applyAlignment="1" applyProtection="1">
      <alignment/>
      <protection hidden="1"/>
    </xf>
    <xf numFmtId="1" fontId="61" fillId="0" borderId="0" xfId="0" applyNumberFormat="1" applyFont="1" applyBorder="1" applyAlignment="1" applyProtection="1">
      <alignment/>
      <protection hidden="1"/>
    </xf>
    <xf numFmtId="0" fontId="63" fillId="0" borderId="0" xfId="0" applyFont="1" applyBorder="1" applyAlignment="1" applyProtection="1">
      <alignment horizontal="right"/>
      <protection hidden="1"/>
    </xf>
    <xf numFmtId="213" fontId="64" fillId="0" borderId="0" xfId="59" applyNumberFormat="1" applyFont="1" applyBorder="1" applyAlignment="1" applyProtection="1">
      <alignment horizontal="left"/>
      <protection hidden="1"/>
    </xf>
    <xf numFmtId="0" fontId="64" fillId="0" borderId="0" xfId="0" applyFont="1" applyBorder="1" applyAlignment="1" applyProtection="1">
      <alignment/>
      <protection hidden="1"/>
    </xf>
    <xf numFmtId="1" fontId="64" fillId="0" borderId="0" xfId="0" applyNumberFormat="1" applyFont="1" applyBorder="1" applyAlignment="1" applyProtection="1">
      <alignment/>
      <protection hidden="1"/>
    </xf>
    <xf numFmtId="193" fontId="61" fillId="0" borderId="0" xfId="0" applyNumberFormat="1" applyFont="1" applyBorder="1" applyAlignment="1" applyProtection="1">
      <alignment/>
      <protection hidden="1"/>
    </xf>
    <xf numFmtId="0" fontId="61" fillId="0" borderId="0" xfId="0" applyFont="1" applyBorder="1" applyAlignment="1" applyProtection="1" quotePrefix="1">
      <alignment horizontal="right"/>
      <protection hidden="1"/>
    </xf>
    <xf numFmtId="0" fontId="62" fillId="0" borderId="0" xfId="0" applyFont="1" applyBorder="1" applyAlignment="1">
      <alignment/>
    </xf>
    <xf numFmtId="0" fontId="61" fillId="0" borderId="0" xfId="0" applyFont="1" applyAlignment="1">
      <alignment horizontal="right"/>
    </xf>
    <xf numFmtId="3" fontId="61" fillId="0" borderId="0" xfId="0" applyNumberFormat="1" applyFont="1" applyAlignment="1">
      <alignment/>
    </xf>
    <xf numFmtId="213" fontId="61" fillId="0" borderId="0" xfId="0" applyNumberFormat="1" applyFont="1" applyAlignment="1">
      <alignment/>
    </xf>
    <xf numFmtId="1" fontId="61" fillId="0" borderId="0" xfId="0" applyNumberFormat="1" applyFont="1" applyAlignment="1">
      <alignment/>
    </xf>
    <xf numFmtId="0" fontId="61" fillId="0" borderId="0" xfId="0" applyFont="1" applyFill="1" applyBorder="1" applyAlignment="1">
      <alignment/>
    </xf>
    <xf numFmtId="0" fontId="61" fillId="0" borderId="0" xfId="0" applyFont="1" applyFill="1" applyBorder="1" applyAlignment="1">
      <alignment horizontal="right"/>
    </xf>
    <xf numFmtId="0" fontId="63" fillId="0" borderId="0" xfId="0" applyFont="1" applyFill="1" applyBorder="1" applyAlignment="1">
      <alignment horizontal="right"/>
    </xf>
    <xf numFmtId="213" fontId="64" fillId="0" borderId="0" xfId="59" applyNumberFormat="1" applyFont="1" applyFill="1" applyBorder="1" applyAlignment="1">
      <alignment horizontal="left"/>
    </xf>
    <xf numFmtId="0" fontId="64" fillId="0" borderId="0" xfId="0" applyFont="1" applyFill="1" applyBorder="1" applyAlignment="1">
      <alignment/>
    </xf>
    <xf numFmtId="2" fontId="61" fillId="0" borderId="0" xfId="0" applyNumberFormat="1" applyFont="1" applyFill="1" applyBorder="1" applyAlignment="1">
      <alignment/>
    </xf>
    <xf numFmtId="1" fontId="64" fillId="0" borderId="0" xfId="0" applyNumberFormat="1" applyFont="1" applyFill="1" applyBorder="1" applyAlignment="1">
      <alignment/>
    </xf>
    <xf numFmtId="193" fontId="61" fillId="0" borderId="0" xfId="0" applyNumberFormat="1" applyFont="1" applyFill="1" applyBorder="1" applyAlignment="1">
      <alignment/>
    </xf>
    <xf numFmtId="0" fontId="61" fillId="0" borderId="0" xfId="0" applyFont="1" applyFill="1" applyBorder="1" applyAlignment="1" quotePrefix="1">
      <alignment horizontal="right"/>
    </xf>
    <xf numFmtId="1" fontId="61" fillId="0" borderId="0" xfId="0" applyNumberFormat="1" applyFont="1" applyFill="1" applyBorder="1" applyAlignment="1">
      <alignment/>
    </xf>
    <xf numFmtId="168" fontId="61" fillId="0" borderId="0" xfId="0" applyNumberFormat="1" applyFont="1" applyFill="1" applyBorder="1" applyAlignment="1">
      <alignment/>
    </xf>
    <xf numFmtId="2" fontId="64" fillId="0" borderId="0" xfId="0" applyNumberFormat="1" applyFont="1" applyFill="1" applyBorder="1" applyAlignment="1">
      <alignment/>
    </xf>
    <xf numFmtId="169" fontId="61" fillId="0" borderId="0" xfId="0" applyNumberFormat="1" applyFont="1" applyFill="1" applyBorder="1" applyAlignment="1">
      <alignment/>
    </xf>
    <xf numFmtId="168" fontId="61" fillId="0" borderId="0" xfId="0" applyNumberFormat="1" applyFont="1" applyAlignment="1">
      <alignment/>
    </xf>
    <xf numFmtId="2" fontId="61" fillId="0" borderId="0" xfId="0" applyNumberFormat="1" applyFont="1" applyAlignment="1">
      <alignment/>
    </xf>
    <xf numFmtId="2" fontId="61" fillId="0" borderId="0" xfId="0" applyNumberFormat="1" applyFont="1" applyFill="1" applyAlignment="1">
      <alignment/>
    </xf>
    <xf numFmtId="1" fontId="61" fillId="0" borderId="0" xfId="0" applyNumberFormat="1" applyFont="1" applyFill="1" applyAlignment="1">
      <alignment/>
    </xf>
    <xf numFmtId="169" fontId="61" fillId="0" borderId="0" xfId="0" applyNumberFormat="1" applyFont="1" applyAlignment="1">
      <alignment/>
    </xf>
    <xf numFmtId="0" fontId="61" fillId="0" borderId="0" xfId="0" applyFont="1" applyFill="1" applyAlignment="1">
      <alignment/>
    </xf>
    <xf numFmtId="0" fontId="65" fillId="0" borderId="0" xfId="0" applyFont="1" applyFill="1" applyBorder="1" applyAlignment="1" applyProtection="1">
      <alignment/>
      <protection/>
    </xf>
    <xf numFmtId="0" fontId="0" fillId="0" borderId="18" xfId="0" applyBorder="1" applyAlignment="1" applyProtection="1">
      <alignment horizontal="center" vertical="center" wrapText="1"/>
      <protection hidden="1"/>
    </xf>
    <xf numFmtId="213" fontId="1" fillId="35" borderId="18" xfId="59" applyNumberFormat="1" applyFont="1" applyFill="1" applyBorder="1" applyAlignment="1" applyProtection="1">
      <alignment horizontal="center"/>
      <protection hidden="1" locked="0"/>
    </xf>
    <xf numFmtId="0" fontId="0" fillId="0" borderId="20" xfId="0" applyBorder="1" applyAlignment="1" applyProtection="1">
      <alignment horizontal="center"/>
      <protection hidden="1"/>
    </xf>
    <xf numFmtId="9" fontId="0" fillId="34" borderId="18" xfId="0" applyNumberFormat="1" applyFill="1" applyBorder="1" applyAlignment="1" applyProtection="1">
      <alignment vertical="center"/>
      <protection locked="0"/>
    </xf>
    <xf numFmtId="9" fontId="0" fillId="34" borderId="18" xfId="0" applyNumberFormat="1" applyFill="1" applyBorder="1" applyAlignment="1" applyProtection="1">
      <alignment/>
      <protection locked="0"/>
    </xf>
    <xf numFmtId="0" fontId="61" fillId="0" borderId="0" xfId="0" applyFont="1" applyFill="1" applyBorder="1" applyAlignment="1" applyProtection="1">
      <alignment horizontal="center" wrapText="1"/>
      <protection hidden="1"/>
    </xf>
    <xf numFmtId="4" fontId="64" fillId="0" borderId="0" xfId="59" applyNumberFormat="1" applyFont="1" applyFill="1" applyBorder="1" applyAlignment="1" applyProtection="1">
      <alignment horizontal="center"/>
      <protection hidden="1"/>
    </xf>
    <xf numFmtId="3" fontId="64" fillId="0" borderId="0" xfId="0" applyNumberFormat="1" applyFont="1" applyFill="1" applyBorder="1" applyAlignment="1" applyProtection="1">
      <alignment/>
      <protection hidden="1"/>
    </xf>
    <xf numFmtId="0" fontId="61" fillId="0" borderId="0" xfId="0" applyFont="1" applyFill="1" applyBorder="1" applyAlignment="1" applyProtection="1">
      <alignment horizontal="center"/>
      <protection hidden="1"/>
    </xf>
    <xf numFmtId="0" fontId="61" fillId="0" borderId="0" xfId="0" applyFont="1" applyFill="1" applyBorder="1" applyAlignment="1" applyProtection="1">
      <alignment horizontal="right" vertical="center" wrapText="1"/>
      <protection locked="0"/>
    </xf>
    <xf numFmtId="3" fontId="61" fillId="0" borderId="0" xfId="0" applyNumberFormat="1" applyFont="1" applyFill="1" applyBorder="1" applyAlignment="1" applyProtection="1">
      <alignment/>
      <protection hidden="1"/>
    </xf>
    <xf numFmtId="0" fontId="61" fillId="0" borderId="20" xfId="0" applyFont="1" applyFill="1" applyBorder="1" applyAlignment="1" applyProtection="1">
      <alignment/>
      <protection hidden="1"/>
    </xf>
    <xf numFmtId="0" fontId="61" fillId="0" borderId="20" xfId="0" applyFont="1" applyFill="1" applyBorder="1" applyAlignment="1" applyProtection="1">
      <alignment horizontal="center" wrapText="1"/>
      <protection hidden="1"/>
    </xf>
    <xf numFmtId="4" fontId="64" fillId="0" borderId="20" xfId="59" applyNumberFormat="1" applyFont="1" applyFill="1" applyBorder="1" applyAlignment="1" applyProtection="1">
      <alignment horizontal="center"/>
      <protection hidden="1"/>
    </xf>
    <xf numFmtId="0" fontId="61" fillId="0" borderId="20" xfId="0" applyFont="1" applyFill="1" applyBorder="1" applyAlignment="1" applyProtection="1">
      <alignment horizontal="center"/>
      <protection hidden="1"/>
    </xf>
    <xf numFmtId="0" fontId="61" fillId="0" borderId="20" xfId="0" applyFont="1" applyFill="1" applyBorder="1" applyAlignment="1" applyProtection="1">
      <alignment horizontal="right" vertical="center" wrapText="1"/>
      <protection locked="0"/>
    </xf>
    <xf numFmtId="0" fontId="65" fillId="0" borderId="20" xfId="0" applyFont="1" applyFill="1" applyBorder="1" applyAlignment="1" applyProtection="1">
      <alignment/>
      <protection/>
    </xf>
    <xf numFmtId="0" fontId="17" fillId="0" borderId="13" xfId="0" applyFont="1" applyFill="1" applyBorder="1" applyAlignment="1" applyProtection="1">
      <alignment/>
      <protection hidden="1"/>
    </xf>
    <xf numFmtId="0" fontId="0" fillId="0" borderId="13" xfId="0" applyBorder="1" applyAlignment="1" applyProtection="1">
      <alignment horizontal="center" vertical="center" wrapText="1"/>
      <protection hidden="1"/>
    </xf>
    <xf numFmtId="0" fontId="1" fillId="0" borderId="0" xfId="0" applyFont="1" applyFill="1" applyBorder="1" applyAlignment="1" applyProtection="1">
      <alignment/>
      <protection hidden="1"/>
    </xf>
    <xf numFmtId="0" fontId="1" fillId="35" borderId="11" xfId="0" applyFont="1" applyFill="1" applyBorder="1" applyAlignment="1" applyProtection="1">
      <alignment horizontal="center" wrapText="1"/>
      <protection hidden="1"/>
    </xf>
    <xf numFmtId="0" fontId="1" fillId="35" borderId="13" xfId="0" applyFont="1" applyFill="1" applyBorder="1" applyAlignment="1" applyProtection="1">
      <alignment horizontal="center" wrapText="1"/>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1" fillId="0" borderId="17" xfId="0" applyFont="1" applyBorder="1" applyAlignment="1" applyProtection="1">
      <alignment horizontal="left"/>
      <protection hidden="1"/>
    </xf>
    <xf numFmtId="0" fontId="1" fillId="0" borderId="16" xfId="0" applyFont="1" applyBorder="1" applyAlignment="1" applyProtection="1">
      <alignment horizontal="left"/>
      <protection hidden="1"/>
    </xf>
    <xf numFmtId="0" fontId="1" fillId="0" borderId="20" xfId="0" applyFont="1" applyBorder="1" applyAlignment="1" applyProtection="1">
      <alignment horizontal="left"/>
      <protection hidden="1"/>
    </xf>
    <xf numFmtId="0" fontId="1" fillId="0" borderId="21" xfId="0" applyFont="1" applyBorder="1" applyAlignment="1" applyProtection="1">
      <alignment horizontal="left"/>
      <protection hidden="1"/>
    </xf>
    <xf numFmtId="0" fontId="8" fillId="33" borderId="18" xfId="0" applyFont="1" applyFill="1" applyBorder="1" applyAlignment="1" applyProtection="1">
      <alignment horizontal="left" vertical="center" wrapText="1"/>
      <protection locked="0"/>
    </xf>
    <xf numFmtId="0" fontId="8" fillId="33" borderId="19"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0" fillId="33" borderId="18" xfId="44" applyNumberFormat="1" applyFont="1" applyFill="1" applyBorder="1" applyAlignment="1" applyProtection="1">
      <alignment horizontal="left"/>
      <protection locked="0"/>
    </xf>
    <xf numFmtId="0" fontId="0" fillId="33" borderId="19" xfId="44" applyNumberFormat="1" applyFont="1" applyFill="1" applyBorder="1" applyAlignment="1" applyProtection="1">
      <alignment horizontal="left"/>
      <protection locked="0"/>
    </xf>
    <xf numFmtId="0" fontId="0" fillId="33" borderId="15" xfId="44" applyNumberFormat="1" applyFont="1" applyFill="1" applyBorder="1" applyAlignment="1" applyProtection="1">
      <alignment horizontal="left"/>
      <protection locked="0"/>
    </xf>
    <xf numFmtId="0" fontId="0" fillId="33" borderId="18"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15" xfId="0" applyFill="1" applyBorder="1" applyAlignment="1" applyProtection="1">
      <alignment horizontal="left"/>
      <protection locked="0"/>
    </xf>
    <xf numFmtId="14" fontId="0" fillId="33" borderId="18" xfId="0" applyNumberFormat="1" applyFill="1" applyBorder="1" applyAlignment="1" applyProtection="1">
      <alignment horizontal="left"/>
      <protection locked="0"/>
    </xf>
    <xf numFmtId="14" fontId="0" fillId="33" borderId="19" xfId="0" applyNumberFormat="1" applyFill="1" applyBorder="1" applyAlignment="1" applyProtection="1">
      <alignment horizontal="left"/>
      <protection locked="0"/>
    </xf>
    <xf numFmtId="14" fontId="0" fillId="33" borderId="15" xfId="0" applyNumberFormat="1" applyFill="1" applyBorder="1" applyAlignment="1" applyProtection="1">
      <alignment horizontal="left"/>
      <protection locked="0"/>
    </xf>
    <xf numFmtId="0" fontId="8" fillId="0" borderId="18" xfId="0" applyFont="1" applyFill="1" applyBorder="1" applyAlignment="1" applyProtection="1">
      <alignment horizontal="left" vertical="center" wrapText="1"/>
      <protection hidden="1"/>
    </xf>
    <xf numFmtId="0" fontId="8" fillId="0" borderId="19" xfId="0" applyFont="1" applyFill="1" applyBorder="1" applyAlignment="1" applyProtection="1">
      <alignment horizontal="left" vertical="center" wrapText="1"/>
      <protection hidden="1"/>
    </xf>
    <xf numFmtId="0" fontId="8" fillId="0" borderId="15" xfId="0" applyFont="1" applyFill="1" applyBorder="1" applyAlignment="1" applyProtection="1">
      <alignment horizontal="left" vertical="center" wrapText="1"/>
      <protection hidden="1"/>
    </xf>
    <xf numFmtId="14" fontId="8" fillId="0" borderId="18" xfId="0" applyNumberFormat="1" applyFont="1" applyFill="1" applyBorder="1" applyAlignment="1" applyProtection="1">
      <alignment horizontal="left" vertical="center" wrapText="1"/>
      <protection hidden="1"/>
    </xf>
    <xf numFmtId="14" fontId="8" fillId="0" borderId="19" xfId="0" applyNumberFormat="1" applyFont="1" applyFill="1" applyBorder="1" applyAlignment="1" applyProtection="1">
      <alignment horizontal="left" vertical="center" wrapText="1"/>
      <protection hidden="1"/>
    </xf>
    <xf numFmtId="14" fontId="8" fillId="0" borderId="15" xfId="0" applyNumberFormat="1" applyFont="1" applyFill="1" applyBorder="1" applyAlignment="1" applyProtection="1">
      <alignment horizontal="left" vertical="center" wrapText="1"/>
      <protection hidden="1"/>
    </xf>
    <xf numFmtId="0" fontId="0" fillId="0" borderId="18" xfId="0" applyFont="1" applyFill="1" applyBorder="1" applyAlignment="1" applyProtection="1">
      <alignment horizontal="left" vertical="center" wrapText="1"/>
      <protection hidden="1"/>
    </xf>
    <xf numFmtId="0" fontId="0" fillId="0" borderId="19"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lef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i val="0"/>
        <color indexed="10"/>
      </font>
    </dxf>
    <dxf>
      <font>
        <b/>
        <i val="0"/>
        <color indexed="10"/>
      </font>
    </dxf>
    <dxf>
      <font>
        <b/>
        <i val="0"/>
        <color indexed="10"/>
      </font>
    </dxf>
    <dxf>
      <font>
        <b/>
        <i val="0"/>
        <strike val="0"/>
        <color indexed="10"/>
      </font>
    </dxf>
    <dxf>
      <font>
        <b/>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122"/>
  <sheetViews>
    <sheetView tabSelected="1" zoomScalePageLayoutView="0" workbookViewId="0" topLeftCell="A1">
      <selection activeCell="H1" sqref="H1:L1"/>
    </sheetView>
  </sheetViews>
  <sheetFormatPr defaultColWidth="8.8515625" defaultRowHeight="12.75"/>
  <cols>
    <col min="1" max="1" width="14.7109375" style="1" customWidth="1"/>
    <col min="2" max="2" width="33.140625" style="1" customWidth="1"/>
    <col min="3" max="3" width="10.7109375" style="1" customWidth="1"/>
    <col min="4" max="4" width="10.421875" style="1" customWidth="1"/>
    <col min="5" max="5" width="12.28125" style="1" customWidth="1"/>
    <col min="6" max="6" width="9.00390625" style="1" customWidth="1"/>
    <col min="7" max="7" width="18.00390625" style="1" customWidth="1"/>
    <col min="8" max="9" width="7.421875" style="1" customWidth="1"/>
    <col min="10" max="10" width="1.8515625" style="1" hidden="1" customWidth="1"/>
    <col min="11" max="11" width="18.7109375" style="1" customWidth="1"/>
    <col min="12" max="12" width="20.421875" style="1" customWidth="1"/>
    <col min="13" max="13" width="0.5625" style="82" customWidth="1"/>
    <col min="14" max="14" width="20.28125" style="82" customWidth="1"/>
    <col min="15" max="15" width="8.8515625" style="26" customWidth="1"/>
    <col min="16" max="16" width="8.8515625" style="27" customWidth="1"/>
    <col min="17" max="23" width="8.8515625" style="26" customWidth="1"/>
    <col min="24" max="16384" width="8.8515625" style="1" customWidth="1"/>
  </cols>
  <sheetData>
    <row r="1" spans="1:13" ht="12.75" customHeight="1">
      <c r="A1" s="3" t="s">
        <v>18</v>
      </c>
      <c r="G1" s="54" t="s">
        <v>86</v>
      </c>
      <c r="H1" s="169" t="s">
        <v>106</v>
      </c>
      <c r="I1" s="170"/>
      <c r="J1" s="170"/>
      <c r="K1" s="170"/>
      <c r="L1" s="171"/>
      <c r="M1" s="152"/>
    </row>
    <row r="2" spans="1:24" ht="12.75">
      <c r="A2" s="3" t="s">
        <v>92</v>
      </c>
      <c r="G2" s="158" t="s">
        <v>87</v>
      </c>
      <c r="H2" s="172" t="s">
        <v>131</v>
      </c>
      <c r="I2" s="173"/>
      <c r="J2" s="173"/>
      <c r="K2" s="173"/>
      <c r="L2" s="174"/>
      <c r="M2" s="157"/>
      <c r="N2" s="140"/>
      <c r="O2" s="60"/>
      <c r="P2" s="60"/>
      <c r="X2" s="26"/>
    </row>
    <row r="3" spans="1:24" ht="12.75">
      <c r="A3" s="3" t="s">
        <v>93</v>
      </c>
      <c r="G3" s="54" t="s">
        <v>88</v>
      </c>
      <c r="H3" s="172" t="s">
        <v>104</v>
      </c>
      <c r="I3" s="173"/>
      <c r="J3" s="173"/>
      <c r="K3" s="173"/>
      <c r="L3" s="174"/>
      <c r="M3" s="152"/>
      <c r="P3" s="26"/>
      <c r="X3" s="26"/>
    </row>
    <row r="4" spans="1:24" ht="12.75">
      <c r="A4" s="3"/>
      <c r="G4" s="54" t="s">
        <v>89</v>
      </c>
      <c r="H4" s="175" t="s">
        <v>107</v>
      </c>
      <c r="I4" s="176"/>
      <c r="J4" s="176"/>
      <c r="K4" s="176"/>
      <c r="L4" s="177"/>
      <c r="M4" s="152"/>
      <c r="P4" s="26"/>
      <c r="X4" s="26"/>
    </row>
    <row r="5" spans="7:24" ht="12.75">
      <c r="G5" s="54" t="s">
        <v>91</v>
      </c>
      <c r="H5" s="175" t="s">
        <v>108</v>
      </c>
      <c r="I5" s="176"/>
      <c r="J5" s="176"/>
      <c r="K5" s="176"/>
      <c r="L5" s="177"/>
      <c r="M5" s="152"/>
      <c r="P5" s="26"/>
      <c r="X5" s="26"/>
    </row>
    <row r="6" spans="1:24" ht="12.75">
      <c r="A6" s="28" t="s">
        <v>78</v>
      </c>
      <c r="G6" s="54" t="s">
        <v>90</v>
      </c>
      <c r="H6" s="178">
        <v>41091</v>
      </c>
      <c r="I6" s="179"/>
      <c r="J6" s="179"/>
      <c r="K6" s="179"/>
      <c r="L6" s="180"/>
      <c r="M6" s="152"/>
      <c r="P6" s="26"/>
      <c r="X6" s="26"/>
    </row>
    <row r="7" spans="1:24" ht="12.75">
      <c r="A7" s="28" t="s">
        <v>79</v>
      </c>
      <c r="P7" s="26"/>
      <c r="X7" s="26"/>
    </row>
    <row r="8" spans="1:24" ht="12.75">
      <c r="A8" s="28" t="s">
        <v>80</v>
      </c>
      <c r="L8" s="161" t="s">
        <v>132</v>
      </c>
      <c r="P8" s="26"/>
      <c r="X8" s="26"/>
    </row>
    <row r="9" spans="1:24" ht="13.5" customHeight="1">
      <c r="A9" s="28" t="s">
        <v>81</v>
      </c>
      <c r="L9" s="162"/>
      <c r="P9" s="26"/>
      <c r="X9" s="26"/>
    </row>
    <row r="10" spans="11:24" ht="42.75" customHeight="1">
      <c r="K10" s="29" t="s">
        <v>23</v>
      </c>
      <c r="L10" s="141" t="s">
        <v>112</v>
      </c>
      <c r="M10" s="153" t="s">
        <v>115</v>
      </c>
      <c r="N10" s="146" t="s">
        <v>119</v>
      </c>
      <c r="O10" s="27"/>
      <c r="Q10" s="27"/>
      <c r="R10" s="27"/>
      <c r="S10" s="27"/>
      <c r="T10" s="27"/>
      <c r="X10" s="26"/>
    </row>
    <row r="11" spans="1:24" ht="15.75">
      <c r="A11" s="30" t="s">
        <v>19</v>
      </c>
      <c r="B11" s="30"/>
      <c r="C11" s="31"/>
      <c r="D11" s="31"/>
      <c r="E11" s="31"/>
      <c r="F11" s="31"/>
      <c r="G11" s="31"/>
      <c r="H11" s="31"/>
      <c r="I11" s="31"/>
      <c r="J11" s="31"/>
      <c r="K11" s="52">
        <f>SUM(K15:K39)</f>
        <v>0.058833333333333335</v>
      </c>
      <c r="L11" s="142">
        <f>P13/(K11+1E-50)</f>
        <v>0.5004881163026325</v>
      </c>
      <c r="M11" s="154">
        <f>N11/8760/(K11+1E-50)</f>
        <v>1.7308781869688386</v>
      </c>
      <c r="N11" s="148">
        <f>SUM(N15:N39)</f>
        <v>892.06</v>
      </c>
      <c r="O11" s="23"/>
      <c r="Q11" s="27"/>
      <c r="R11" s="27"/>
      <c r="S11" s="27"/>
      <c r="T11" s="27"/>
      <c r="X11" s="26"/>
    </row>
    <row r="12" spans="1:24" ht="12.75">
      <c r="A12" s="165" t="s">
        <v>15</v>
      </c>
      <c r="B12" s="166"/>
      <c r="C12" s="32" t="s">
        <v>0</v>
      </c>
      <c r="D12" s="17" t="s">
        <v>1</v>
      </c>
      <c r="E12" s="17" t="s">
        <v>1</v>
      </c>
      <c r="F12" s="17" t="s">
        <v>2</v>
      </c>
      <c r="G12" s="17" t="s">
        <v>3</v>
      </c>
      <c r="H12" s="163" t="s">
        <v>4</v>
      </c>
      <c r="I12" s="164"/>
      <c r="J12" s="33"/>
      <c r="K12" s="17" t="s">
        <v>114</v>
      </c>
      <c r="L12" s="63" t="s">
        <v>113</v>
      </c>
      <c r="M12" s="155" t="s">
        <v>113</v>
      </c>
      <c r="N12" s="149" t="s">
        <v>113</v>
      </c>
      <c r="O12" s="23"/>
      <c r="P12" s="23" t="s">
        <v>5</v>
      </c>
      <c r="Q12" s="27"/>
      <c r="R12" s="27"/>
      <c r="S12" s="27"/>
      <c r="T12" s="27"/>
      <c r="X12" s="26"/>
    </row>
    <row r="13" spans="1:24" ht="15.75">
      <c r="A13" s="167" t="s">
        <v>82</v>
      </c>
      <c r="B13" s="168"/>
      <c r="C13" s="34"/>
      <c r="D13" s="18" t="s">
        <v>77</v>
      </c>
      <c r="E13" s="18" t="s">
        <v>6</v>
      </c>
      <c r="F13" s="18" t="s">
        <v>7</v>
      </c>
      <c r="G13" s="18" t="s">
        <v>8</v>
      </c>
      <c r="H13" s="69" t="s">
        <v>125</v>
      </c>
      <c r="I13" s="70" t="s">
        <v>126</v>
      </c>
      <c r="J13" s="33"/>
      <c r="K13" s="18" t="s">
        <v>9</v>
      </c>
      <c r="L13" s="143" t="s">
        <v>123</v>
      </c>
      <c r="M13" s="155" t="s">
        <v>116</v>
      </c>
      <c r="N13" s="149" t="s">
        <v>118</v>
      </c>
      <c r="O13" s="2"/>
      <c r="P13" s="67">
        <f>SUM(P15:P39)</f>
        <v>0.029445384175804876</v>
      </c>
      <c r="Q13" s="27"/>
      <c r="R13" s="27"/>
      <c r="S13" s="27"/>
      <c r="T13" s="27"/>
      <c r="X13" s="26"/>
    </row>
    <row r="14" spans="1:24" ht="15.75">
      <c r="A14" s="35" t="s">
        <v>16</v>
      </c>
      <c r="B14" s="35" t="s">
        <v>17</v>
      </c>
      <c r="C14" s="34"/>
      <c r="D14" s="19" t="s">
        <v>10</v>
      </c>
      <c r="E14" s="18" t="s">
        <v>10</v>
      </c>
      <c r="F14" s="18" t="s">
        <v>11</v>
      </c>
      <c r="G14" s="18" t="s">
        <v>12</v>
      </c>
      <c r="H14" s="36" t="s">
        <v>13</v>
      </c>
      <c r="I14" s="63" t="s">
        <v>14</v>
      </c>
      <c r="J14" s="37"/>
      <c r="K14" s="18" t="s">
        <v>12</v>
      </c>
      <c r="L14" s="143" t="s">
        <v>124</v>
      </c>
      <c r="M14" s="155" t="s">
        <v>117</v>
      </c>
      <c r="N14" s="149" t="s">
        <v>41</v>
      </c>
      <c r="O14" s="2"/>
      <c r="P14" s="23"/>
      <c r="Q14" s="27"/>
      <c r="R14" s="27"/>
      <c r="S14" s="27"/>
      <c r="T14" s="27"/>
      <c r="X14" s="26"/>
    </row>
    <row r="15" spans="1:24" ht="12.75" customHeight="1">
      <c r="A15" s="9" t="s">
        <v>94</v>
      </c>
      <c r="B15" s="9" t="s">
        <v>95</v>
      </c>
      <c r="C15" s="9" t="s">
        <v>101</v>
      </c>
      <c r="D15" s="12">
        <v>0.04</v>
      </c>
      <c r="E15" s="12">
        <v>0.043</v>
      </c>
      <c r="F15" s="12">
        <v>1</v>
      </c>
      <c r="G15" s="14">
        <f>F15*E15</f>
        <v>0.043</v>
      </c>
      <c r="H15" s="13">
        <v>24</v>
      </c>
      <c r="I15" s="64">
        <v>7</v>
      </c>
      <c r="J15" s="62">
        <v>1</v>
      </c>
      <c r="K15" s="14">
        <f>G15*H15/24*I15/7*J15</f>
        <v>0.043000000000000003</v>
      </c>
      <c r="L15" s="144">
        <v>0.6847763761815087</v>
      </c>
      <c r="M15" s="156">
        <v>2</v>
      </c>
      <c r="N15" s="151">
        <f>(D15&gt;E15)*(D15/(E15+1E-50)*M15*K15*8760)+(D15&lt;=E15)*(M15*K15*8760)</f>
        <v>753.36</v>
      </c>
      <c r="O15" s="38"/>
      <c r="P15" s="68">
        <f>K15*L15</f>
        <v>0.029445384175804876</v>
      </c>
      <c r="Q15" s="27"/>
      <c r="R15" s="27"/>
      <c r="S15" s="27"/>
      <c r="T15" s="27"/>
      <c r="X15" s="26"/>
    </row>
    <row r="16" spans="1:24" ht="12.75">
      <c r="A16" s="9" t="s">
        <v>99</v>
      </c>
      <c r="B16" s="9" t="s">
        <v>100</v>
      </c>
      <c r="C16" s="9" t="s">
        <v>102</v>
      </c>
      <c r="D16" s="12"/>
      <c r="E16" s="12">
        <v>0.08</v>
      </c>
      <c r="F16" s="12">
        <v>1</v>
      </c>
      <c r="G16" s="14">
        <f aca="true" t="shared" si="0" ref="G16:G39">F16*E16</f>
        <v>0.08</v>
      </c>
      <c r="H16" s="13">
        <v>2</v>
      </c>
      <c r="I16" s="64">
        <v>7</v>
      </c>
      <c r="J16" s="62">
        <v>1</v>
      </c>
      <c r="K16" s="14">
        <f aca="true" t="shared" si="1" ref="K16:K39">G16*H16/24*I16/7*J16</f>
        <v>0.006666666666666667</v>
      </c>
      <c r="L16" s="144">
        <v>0</v>
      </c>
      <c r="M16" s="156">
        <v>1</v>
      </c>
      <c r="N16" s="151">
        <f aca="true" t="shared" si="2" ref="N16:N39">(D16&gt;E16)*(D16/(E16+1E-50)*M16*K16*8760)+(D16&lt;=E16)*(M16*K16*8760)</f>
        <v>58.400000000000006</v>
      </c>
      <c r="O16" s="38"/>
      <c r="P16" s="68">
        <f aca="true" t="shared" si="3" ref="P16:P39">K16*L16</f>
        <v>0</v>
      </c>
      <c r="Q16" s="27"/>
      <c r="R16" s="27"/>
      <c r="S16" s="27"/>
      <c r="T16" s="27"/>
      <c r="X16" s="26"/>
    </row>
    <row r="17" spans="1:24" ht="12.75">
      <c r="A17" s="61" t="s">
        <v>105</v>
      </c>
      <c r="B17" s="61" t="s">
        <v>105</v>
      </c>
      <c r="C17" s="9" t="s">
        <v>103</v>
      </c>
      <c r="D17" s="12"/>
      <c r="E17" s="12">
        <v>0.01</v>
      </c>
      <c r="F17" s="12">
        <v>1</v>
      </c>
      <c r="G17" s="14">
        <f>F17*E17</f>
        <v>0.01</v>
      </c>
      <c r="H17" s="13">
        <v>22</v>
      </c>
      <c r="I17" s="64">
        <v>7</v>
      </c>
      <c r="J17" s="62">
        <v>1</v>
      </c>
      <c r="K17" s="14">
        <f t="shared" si="1"/>
        <v>0.009166666666666667</v>
      </c>
      <c r="L17" s="144">
        <v>0</v>
      </c>
      <c r="M17" s="156">
        <v>1</v>
      </c>
      <c r="N17" s="151">
        <f t="shared" si="2"/>
        <v>80.3</v>
      </c>
      <c r="O17" s="38"/>
      <c r="P17" s="68">
        <f t="shared" si="3"/>
        <v>0</v>
      </c>
      <c r="Q17" s="27"/>
      <c r="R17" s="27"/>
      <c r="S17" s="27"/>
      <c r="T17" s="27"/>
      <c r="X17" s="26"/>
    </row>
    <row r="18" spans="1:24" ht="12.75">
      <c r="A18" s="9"/>
      <c r="B18" s="9"/>
      <c r="C18" s="9"/>
      <c r="D18" s="12"/>
      <c r="E18" s="12"/>
      <c r="F18" s="12"/>
      <c r="G18" s="14">
        <f t="shared" si="0"/>
        <v>0</v>
      </c>
      <c r="H18" s="13"/>
      <c r="I18" s="64"/>
      <c r="J18" s="62">
        <v>1</v>
      </c>
      <c r="K18" s="14">
        <f t="shared" si="1"/>
        <v>0</v>
      </c>
      <c r="L18" s="144"/>
      <c r="M18" s="156"/>
      <c r="N18" s="151">
        <f t="shared" si="2"/>
        <v>0</v>
      </c>
      <c r="O18" s="38"/>
      <c r="P18" s="68">
        <f t="shared" si="3"/>
        <v>0</v>
      </c>
      <c r="Q18" s="27"/>
      <c r="R18" s="27"/>
      <c r="S18" s="27"/>
      <c r="T18" s="27"/>
      <c r="X18" s="26"/>
    </row>
    <row r="19" spans="1:24" ht="12.75">
      <c r="A19" s="9"/>
      <c r="B19" s="9"/>
      <c r="C19" s="9"/>
      <c r="D19" s="12"/>
      <c r="E19" s="12"/>
      <c r="F19" s="12"/>
      <c r="G19" s="14">
        <f t="shared" si="0"/>
        <v>0</v>
      </c>
      <c r="H19" s="13"/>
      <c r="I19" s="64"/>
      <c r="J19" s="62">
        <v>1</v>
      </c>
      <c r="K19" s="14">
        <f t="shared" si="1"/>
        <v>0</v>
      </c>
      <c r="L19" s="144"/>
      <c r="M19" s="156"/>
      <c r="N19" s="151">
        <f t="shared" si="2"/>
        <v>0</v>
      </c>
      <c r="O19" s="38"/>
      <c r="P19" s="68">
        <f t="shared" si="3"/>
        <v>0</v>
      </c>
      <c r="Q19" s="27"/>
      <c r="R19" s="27"/>
      <c r="S19" s="27"/>
      <c r="T19" s="27"/>
      <c r="X19" s="26"/>
    </row>
    <row r="20" spans="1:24" ht="12.75">
      <c r="A20" s="9"/>
      <c r="B20" s="9"/>
      <c r="C20" s="9"/>
      <c r="D20" s="12"/>
      <c r="E20" s="12"/>
      <c r="F20" s="12"/>
      <c r="G20" s="14">
        <f t="shared" si="0"/>
        <v>0</v>
      </c>
      <c r="H20" s="13"/>
      <c r="I20" s="64"/>
      <c r="J20" s="62">
        <v>1</v>
      </c>
      <c r="K20" s="14">
        <f t="shared" si="1"/>
        <v>0</v>
      </c>
      <c r="L20" s="144"/>
      <c r="M20" s="156"/>
      <c r="N20" s="151">
        <f t="shared" si="2"/>
        <v>0</v>
      </c>
      <c r="O20" s="39"/>
      <c r="P20" s="68">
        <f t="shared" si="3"/>
        <v>0</v>
      </c>
      <c r="Q20" s="27"/>
      <c r="R20" s="27"/>
      <c r="S20" s="27"/>
      <c r="T20" s="27"/>
      <c r="X20" s="26"/>
    </row>
    <row r="21" spans="1:24" ht="12.75">
      <c r="A21" s="9"/>
      <c r="B21" s="9"/>
      <c r="C21" s="9"/>
      <c r="D21" s="12"/>
      <c r="E21" s="12"/>
      <c r="F21" s="12"/>
      <c r="G21" s="14">
        <f t="shared" si="0"/>
        <v>0</v>
      </c>
      <c r="H21" s="13"/>
      <c r="I21" s="64"/>
      <c r="J21" s="62">
        <v>1</v>
      </c>
      <c r="K21" s="14">
        <f t="shared" si="1"/>
        <v>0</v>
      </c>
      <c r="L21" s="144"/>
      <c r="M21" s="156"/>
      <c r="N21" s="151">
        <f t="shared" si="2"/>
        <v>0</v>
      </c>
      <c r="O21" s="39"/>
      <c r="P21" s="68">
        <f t="shared" si="3"/>
        <v>0</v>
      </c>
      <c r="Q21" s="27"/>
      <c r="R21" s="27"/>
      <c r="S21" s="27"/>
      <c r="T21" s="27"/>
      <c r="X21" s="26"/>
    </row>
    <row r="22" spans="1:24" ht="12.75">
      <c r="A22" s="9"/>
      <c r="B22" s="9"/>
      <c r="C22" s="9"/>
      <c r="D22" s="12"/>
      <c r="E22" s="12"/>
      <c r="F22" s="12"/>
      <c r="G22" s="14">
        <f t="shared" si="0"/>
        <v>0</v>
      </c>
      <c r="H22" s="13"/>
      <c r="I22" s="64"/>
      <c r="J22" s="62">
        <v>1</v>
      </c>
      <c r="K22" s="14">
        <f t="shared" si="1"/>
        <v>0</v>
      </c>
      <c r="L22" s="144"/>
      <c r="M22" s="156"/>
      <c r="N22" s="151">
        <f t="shared" si="2"/>
        <v>0</v>
      </c>
      <c r="O22" s="39"/>
      <c r="P22" s="68">
        <f t="shared" si="3"/>
        <v>0</v>
      </c>
      <c r="Q22" s="27"/>
      <c r="R22" s="27"/>
      <c r="S22" s="27"/>
      <c r="T22" s="27"/>
      <c r="X22" s="26"/>
    </row>
    <row r="23" spans="1:24" ht="12.75">
      <c r="A23" s="9"/>
      <c r="B23" s="9"/>
      <c r="C23" s="9"/>
      <c r="D23" s="12"/>
      <c r="E23" s="12"/>
      <c r="F23" s="12"/>
      <c r="G23" s="14">
        <f t="shared" si="0"/>
        <v>0</v>
      </c>
      <c r="H23" s="13"/>
      <c r="I23" s="64"/>
      <c r="J23" s="62">
        <v>1</v>
      </c>
      <c r="K23" s="14">
        <f t="shared" si="1"/>
        <v>0</v>
      </c>
      <c r="L23" s="144"/>
      <c r="M23" s="156"/>
      <c r="N23" s="151">
        <f t="shared" si="2"/>
        <v>0</v>
      </c>
      <c r="O23" s="39"/>
      <c r="P23" s="68">
        <f t="shared" si="3"/>
        <v>0</v>
      </c>
      <c r="Q23" s="27"/>
      <c r="R23" s="27"/>
      <c r="S23" s="27"/>
      <c r="T23" s="27"/>
      <c r="X23" s="26"/>
    </row>
    <row r="24" spans="1:24" ht="12.75">
      <c r="A24" s="9"/>
      <c r="B24" s="9"/>
      <c r="C24" s="9"/>
      <c r="D24" s="12"/>
      <c r="E24" s="12"/>
      <c r="F24" s="12"/>
      <c r="G24" s="14">
        <f t="shared" si="0"/>
        <v>0</v>
      </c>
      <c r="H24" s="13"/>
      <c r="I24" s="64"/>
      <c r="J24" s="62">
        <v>1</v>
      </c>
      <c r="K24" s="14">
        <f t="shared" si="1"/>
        <v>0</v>
      </c>
      <c r="L24" s="144"/>
      <c r="M24" s="156"/>
      <c r="N24" s="151">
        <f t="shared" si="2"/>
        <v>0</v>
      </c>
      <c r="O24" s="39"/>
      <c r="P24" s="68">
        <f t="shared" si="3"/>
        <v>0</v>
      </c>
      <c r="Q24" s="27"/>
      <c r="R24" s="27"/>
      <c r="S24" s="27"/>
      <c r="T24" s="27"/>
      <c r="X24" s="26"/>
    </row>
    <row r="25" spans="1:24" ht="12.75">
      <c r="A25" s="9"/>
      <c r="B25" s="9"/>
      <c r="C25" s="9"/>
      <c r="D25" s="12"/>
      <c r="E25" s="12"/>
      <c r="F25" s="12"/>
      <c r="G25" s="14">
        <f t="shared" si="0"/>
        <v>0</v>
      </c>
      <c r="H25" s="13"/>
      <c r="I25" s="64"/>
      <c r="J25" s="62">
        <v>1</v>
      </c>
      <c r="K25" s="14">
        <f t="shared" si="1"/>
        <v>0</v>
      </c>
      <c r="L25" s="144"/>
      <c r="M25" s="156"/>
      <c r="N25" s="151">
        <f t="shared" si="2"/>
        <v>0</v>
      </c>
      <c r="O25" s="39"/>
      <c r="P25" s="68">
        <f t="shared" si="3"/>
        <v>0</v>
      </c>
      <c r="Q25" s="27"/>
      <c r="R25" s="27"/>
      <c r="S25" s="27"/>
      <c r="T25" s="27"/>
      <c r="X25" s="26"/>
    </row>
    <row r="26" spans="1:24" ht="12.75">
      <c r="A26" s="9"/>
      <c r="B26" s="9"/>
      <c r="C26" s="9"/>
      <c r="D26" s="12"/>
      <c r="E26" s="12"/>
      <c r="F26" s="12"/>
      <c r="G26" s="14">
        <f t="shared" si="0"/>
        <v>0</v>
      </c>
      <c r="H26" s="13"/>
      <c r="I26" s="64"/>
      <c r="J26" s="62">
        <v>1</v>
      </c>
      <c r="K26" s="14">
        <f t="shared" si="1"/>
        <v>0</v>
      </c>
      <c r="L26" s="144"/>
      <c r="M26" s="156"/>
      <c r="N26" s="151">
        <f t="shared" si="2"/>
        <v>0</v>
      </c>
      <c r="O26" s="39"/>
      <c r="P26" s="68">
        <f t="shared" si="3"/>
        <v>0</v>
      </c>
      <c r="Q26" s="27"/>
      <c r="R26" s="27"/>
      <c r="S26" s="27"/>
      <c r="T26" s="27"/>
      <c r="X26" s="26"/>
    </row>
    <row r="27" spans="1:24" ht="12.75">
      <c r="A27" s="9"/>
      <c r="B27" s="9"/>
      <c r="C27" s="9"/>
      <c r="D27" s="9"/>
      <c r="E27" s="12"/>
      <c r="F27" s="12"/>
      <c r="G27" s="14">
        <f t="shared" si="0"/>
        <v>0</v>
      </c>
      <c r="H27" s="13"/>
      <c r="I27" s="64"/>
      <c r="J27" s="62">
        <v>1</v>
      </c>
      <c r="K27" s="14">
        <f t="shared" si="1"/>
        <v>0</v>
      </c>
      <c r="L27" s="144"/>
      <c r="M27" s="156"/>
      <c r="N27" s="151">
        <f t="shared" si="2"/>
        <v>0</v>
      </c>
      <c r="O27" s="39"/>
      <c r="P27" s="68">
        <f t="shared" si="3"/>
        <v>0</v>
      </c>
      <c r="Q27" s="27"/>
      <c r="R27" s="27"/>
      <c r="S27" s="27"/>
      <c r="T27" s="27"/>
      <c r="X27" s="26"/>
    </row>
    <row r="28" spans="1:24" ht="12.75">
      <c r="A28" s="9"/>
      <c r="B28" s="9"/>
      <c r="C28" s="9"/>
      <c r="D28" s="9"/>
      <c r="E28" s="12"/>
      <c r="F28" s="12"/>
      <c r="G28" s="14">
        <f t="shared" si="0"/>
        <v>0</v>
      </c>
      <c r="H28" s="13"/>
      <c r="I28" s="64"/>
      <c r="J28" s="62">
        <v>1</v>
      </c>
      <c r="K28" s="14">
        <f t="shared" si="1"/>
        <v>0</v>
      </c>
      <c r="L28" s="144"/>
      <c r="M28" s="156"/>
      <c r="N28" s="151">
        <f t="shared" si="2"/>
        <v>0</v>
      </c>
      <c r="O28" s="39"/>
      <c r="P28" s="68">
        <f t="shared" si="3"/>
        <v>0</v>
      </c>
      <c r="Q28" s="27"/>
      <c r="R28" s="27"/>
      <c r="S28" s="27"/>
      <c r="T28" s="27"/>
      <c r="X28" s="26"/>
    </row>
    <row r="29" spans="1:24" ht="12.75">
      <c r="A29" s="9"/>
      <c r="B29" s="9"/>
      <c r="C29" s="9"/>
      <c r="D29" s="9"/>
      <c r="E29" s="12"/>
      <c r="F29" s="12"/>
      <c r="G29" s="14">
        <f t="shared" si="0"/>
        <v>0</v>
      </c>
      <c r="H29" s="13"/>
      <c r="I29" s="64"/>
      <c r="J29" s="62">
        <v>1</v>
      </c>
      <c r="K29" s="14">
        <f t="shared" si="1"/>
        <v>0</v>
      </c>
      <c r="L29" s="144"/>
      <c r="M29" s="156"/>
      <c r="N29" s="151">
        <f t="shared" si="2"/>
        <v>0</v>
      </c>
      <c r="O29" s="39"/>
      <c r="P29" s="68">
        <f t="shared" si="3"/>
        <v>0</v>
      </c>
      <c r="Q29" s="27"/>
      <c r="R29" s="27"/>
      <c r="S29" s="27"/>
      <c r="T29" s="27"/>
      <c r="X29" s="26"/>
    </row>
    <row r="30" spans="1:24" ht="12.75">
      <c r="A30" s="9"/>
      <c r="B30" s="9"/>
      <c r="C30" s="9"/>
      <c r="D30" s="9"/>
      <c r="E30" s="12"/>
      <c r="F30" s="12"/>
      <c r="G30" s="14">
        <f t="shared" si="0"/>
        <v>0</v>
      </c>
      <c r="H30" s="13"/>
      <c r="I30" s="64"/>
      <c r="J30" s="62">
        <v>1</v>
      </c>
      <c r="K30" s="14">
        <f t="shared" si="1"/>
        <v>0</v>
      </c>
      <c r="L30" s="144"/>
      <c r="M30" s="156"/>
      <c r="N30" s="151">
        <f t="shared" si="2"/>
        <v>0</v>
      </c>
      <c r="O30" s="39"/>
      <c r="P30" s="68">
        <f t="shared" si="3"/>
        <v>0</v>
      </c>
      <c r="Q30" s="27"/>
      <c r="R30" s="27"/>
      <c r="S30" s="27"/>
      <c r="T30" s="27"/>
      <c r="X30" s="26"/>
    </row>
    <row r="31" spans="1:24" ht="12.75">
      <c r="A31" s="9"/>
      <c r="B31" s="9"/>
      <c r="C31" s="9"/>
      <c r="D31" s="9"/>
      <c r="E31" s="12"/>
      <c r="F31" s="12"/>
      <c r="G31" s="14">
        <f t="shared" si="0"/>
        <v>0</v>
      </c>
      <c r="H31" s="13"/>
      <c r="I31" s="64"/>
      <c r="J31" s="62">
        <v>1</v>
      </c>
      <c r="K31" s="14">
        <f t="shared" si="1"/>
        <v>0</v>
      </c>
      <c r="L31" s="144"/>
      <c r="M31" s="156"/>
      <c r="N31" s="151">
        <f t="shared" si="2"/>
        <v>0</v>
      </c>
      <c r="O31" s="39"/>
      <c r="P31" s="68">
        <f t="shared" si="3"/>
        <v>0</v>
      </c>
      <c r="Q31" s="27"/>
      <c r="R31" s="27"/>
      <c r="S31" s="27"/>
      <c r="T31" s="27"/>
      <c r="X31" s="26"/>
    </row>
    <row r="32" spans="1:24" ht="12.75">
      <c r="A32" s="9"/>
      <c r="B32" s="9"/>
      <c r="C32" s="9"/>
      <c r="D32" s="9"/>
      <c r="E32" s="12"/>
      <c r="F32" s="12"/>
      <c r="G32" s="14">
        <f t="shared" si="0"/>
        <v>0</v>
      </c>
      <c r="H32" s="13"/>
      <c r="I32" s="64"/>
      <c r="J32" s="62">
        <v>1</v>
      </c>
      <c r="K32" s="14">
        <f t="shared" si="1"/>
        <v>0</v>
      </c>
      <c r="L32" s="144"/>
      <c r="M32" s="156"/>
      <c r="N32" s="151">
        <f t="shared" si="2"/>
        <v>0</v>
      </c>
      <c r="O32" s="39"/>
      <c r="P32" s="68">
        <f t="shared" si="3"/>
        <v>0</v>
      </c>
      <c r="Q32" s="27"/>
      <c r="R32" s="27"/>
      <c r="S32" s="27"/>
      <c r="T32" s="27"/>
      <c r="X32" s="26"/>
    </row>
    <row r="33" spans="1:24" ht="12.75">
      <c r="A33" s="9"/>
      <c r="B33" s="9"/>
      <c r="C33" s="9"/>
      <c r="D33" s="9"/>
      <c r="E33" s="12"/>
      <c r="F33" s="12"/>
      <c r="G33" s="14">
        <f t="shared" si="0"/>
        <v>0</v>
      </c>
      <c r="H33" s="13"/>
      <c r="I33" s="64"/>
      <c r="J33" s="62">
        <v>1</v>
      </c>
      <c r="K33" s="14">
        <f t="shared" si="1"/>
        <v>0</v>
      </c>
      <c r="L33" s="144"/>
      <c r="M33" s="156"/>
      <c r="N33" s="151">
        <f t="shared" si="2"/>
        <v>0</v>
      </c>
      <c r="O33" s="39"/>
      <c r="P33" s="68">
        <f t="shared" si="3"/>
        <v>0</v>
      </c>
      <c r="Q33" s="27"/>
      <c r="R33" s="27"/>
      <c r="S33" s="27"/>
      <c r="T33" s="27"/>
      <c r="X33" s="26"/>
    </row>
    <row r="34" spans="1:24" ht="12.75">
      <c r="A34" s="9"/>
      <c r="B34" s="9"/>
      <c r="C34" s="9"/>
      <c r="D34" s="9"/>
      <c r="E34" s="12"/>
      <c r="F34" s="12"/>
      <c r="G34" s="14">
        <f t="shared" si="0"/>
        <v>0</v>
      </c>
      <c r="H34" s="13"/>
      <c r="I34" s="64"/>
      <c r="J34" s="62">
        <v>1</v>
      </c>
      <c r="K34" s="14">
        <f t="shared" si="1"/>
        <v>0</v>
      </c>
      <c r="L34" s="144"/>
      <c r="M34" s="156"/>
      <c r="N34" s="151">
        <f t="shared" si="2"/>
        <v>0</v>
      </c>
      <c r="O34" s="39"/>
      <c r="P34" s="68">
        <f t="shared" si="3"/>
        <v>0</v>
      </c>
      <c r="Q34" s="27"/>
      <c r="R34" s="27"/>
      <c r="S34" s="27"/>
      <c r="T34" s="27"/>
      <c r="X34" s="26"/>
    </row>
    <row r="35" spans="1:24" ht="12.75">
      <c r="A35" s="9"/>
      <c r="B35" s="9"/>
      <c r="C35" s="9"/>
      <c r="D35" s="9"/>
      <c r="E35" s="12"/>
      <c r="F35" s="12"/>
      <c r="G35" s="14">
        <f t="shared" si="0"/>
        <v>0</v>
      </c>
      <c r="H35" s="13"/>
      <c r="I35" s="64"/>
      <c r="J35" s="62">
        <v>1</v>
      </c>
      <c r="K35" s="14">
        <f t="shared" si="1"/>
        <v>0</v>
      </c>
      <c r="L35" s="144"/>
      <c r="M35" s="156"/>
      <c r="N35" s="151">
        <f t="shared" si="2"/>
        <v>0</v>
      </c>
      <c r="O35" s="39"/>
      <c r="P35" s="68">
        <f t="shared" si="3"/>
        <v>0</v>
      </c>
      <c r="Q35" s="27"/>
      <c r="R35" s="27"/>
      <c r="S35" s="27"/>
      <c r="T35" s="27"/>
      <c r="X35" s="26"/>
    </row>
    <row r="36" spans="1:24" ht="12.75">
      <c r="A36" s="9"/>
      <c r="B36" s="9"/>
      <c r="C36" s="9"/>
      <c r="D36" s="9"/>
      <c r="E36" s="12"/>
      <c r="F36" s="12"/>
      <c r="G36" s="14">
        <f t="shared" si="0"/>
        <v>0</v>
      </c>
      <c r="H36" s="13"/>
      <c r="I36" s="64"/>
      <c r="J36" s="62">
        <v>1</v>
      </c>
      <c r="K36" s="14">
        <f t="shared" si="1"/>
        <v>0</v>
      </c>
      <c r="L36" s="144"/>
      <c r="M36" s="156"/>
      <c r="N36" s="151">
        <f t="shared" si="2"/>
        <v>0</v>
      </c>
      <c r="O36" s="39"/>
      <c r="P36" s="68">
        <f t="shared" si="3"/>
        <v>0</v>
      </c>
      <c r="Q36" s="27"/>
      <c r="R36" s="27"/>
      <c r="S36" s="27"/>
      <c r="T36" s="27"/>
      <c r="X36" s="26"/>
    </row>
    <row r="37" spans="1:24" ht="12.75">
      <c r="A37" s="9"/>
      <c r="B37" s="9"/>
      <c r="C37" s="9"/>
      <c r="D37" s="9"/>
      <c r="E37" s="12"/>
      <c r="F37" s="12"/>
      <c r="G37" s="14">
        <f t="shared" si="0"/>
        <v>0</v>
      </c>
      <c r="H37" s="13"/>
      <c r="I37" s="64"/>
      <c r="J37" s="62">
        <v>1</v>
      </c>
      <c r="K37" s="14">
        <f t="shared" si="1"/>
        <v>0</v>
      </c>
      <c r="L37" s="144"/>
      <c r="M37" s="156"/>
      <c r="N37" s="151">
        <f t="shared" si="2"/>
        <v>0</v>
      </c>
      <c r="O37" s="39"/>
      <c r="P37" s="68">
        <f t="shared" si="3"/>
        <v>0</v>
      </c>
      <c r="Q37" s="27"/>
      <c r="R37" s="27"/>
      <c r="S37" s="27"/>
      <c r="T37" s="27"/>
      <c r="X37" s="26"/>
    </row>
    <row r="38" spans="1:24" ht="12.75">
      <c r="A38" s="9"/>
      <c r="B38" s="9"/>
      <c r="C38" s="9"/>
      <c r="D38" s="9"/>
      <c r="E38" s="12"/>
      <c r="F38" s="12"/>
      <c r="G38" s="14">
        <f t="shared" si="0"/>
        <v>0</v>
      </c>
      <c r="H38" s="13"/>
      <c r="I38" s="64"/>
      <c r="J38" s="62">
        <v>1</v>
      </c>
      <c r="K38" s="14">
        <f t="shared" si="1"/>
        <v>0</v>
      </c>
      <c r="L38" s="144"/>
      <c r="M38" s="156"/>
      <c r="N38" s="151">
        <f t="shared" si="2"/>
        <v>0</v>
      </c>
      <c r="O38" s="39"/>
      <c r="P38" s="68">
        <f t="shared" si="3"/>
        <v>0</v>
      </c>
      <c r="Q38" s="27"/>
      <c r="R38" s="27"/>
      <c r="S38" s="27"/>
      <c r="T38" s="27"/>
      <c r="X38" s="26"/>
    </row>
    <row r="39" spans="1:24" ht="12.75">
      <c r="A39" s="9"/>
      <c r="B39" s="9"/>
      <c r="C39" s="9"/>
      <c r="D39" s="9"/>
      <c r="E39" s="12"/>
      <c r="F39" s="12"/>
      <c r="G39" s="14">
        <f t="shared" si="0"/>
        <v>0</v>
      </c>
      <c r="H39" s="13"/>
      <c r="I39" s="64"/>
      <c r="J39" s="62">
        <v>1</v>
      </c>
      <c r="K39" s="14">
        <f t="shared" si="1"/>
        <v>0</v>
      </c>
      <c r="L39" s="144"/>
      <c r="M39" s="156"/>
      <c r="N39" s="151">
        <f t="shared" si="2"/>
        <v>0</v>
      </c>
      <c r="O39" s="39"/>
      <c r="P39" s="68">
        <f t="shared" si="3"/>
        <v>0</v>
      </c>
      <c r="Q39" s="27"/>
      <c r="R39" s="27"/>
      <c r="S39" s="27"/>
      <c r="T39" s="27"/>
      <c r="X39" s="26"/>
    </row>
    <row r="40" spans="1:24" ht="12.75">
      <c r="A40" s="16" t="s">
        <v>130</v>
      </c>
      <c r="O40" s="27"/>
      <c r="Q40" s="27"/>
      <c r="R40" s="27"/>
      <c r="S40" s="27"/>
      <c r="T40" s="27"/>
      <c r="X40" s="26"/>
    </row>
    <row r="41" spans="1:24" ht="12.75">
      <c r="A41" s="16"/>
      <c r="O41" s="27"/>
      <c r="Q41" s="27"/>
      <c r="R41" s="27"/>
      <c r="S41" s="27"/>
      <c r="T41" s="27"/>
      <c r="X41" s="26"/>
    </row>
    <row r="42" spans="1:24" ht="12.75">
      <c r="A42" s="16"/>
      <c r="K42" s="161" t="s">
        <v>132</v>
      </c>
      <c r="O42" s="27"/>
      <c r="Q42" s="27"/>
      <c r="R42" s="27"/>
      <c r="S42" s="27"/>
      <c r="T42" s="27"/>
      <c r="X42" s="26"/>
    </row>
    <row r="43" spans="11:24" ht="12.75">
      <c r="K43" s="162"/>
      <c r="L43" s="160"/>
      <c r="O43" s="27"/>
      <c r="Q43" s="27"/>
      <c r="R43" s="27"/>
      <c r="S43" s="27"/>
      <c r="T43" s="27"/>
      <c r="X43" s="26"/>
    </row>
    <row r="44" spans="11:24" ht="33.75" customHeight="1">
      <c r="K44" s="159" t="s">
        <v>23</v>
      </c>
      <c r="M44" s="146" t="s">
        <v>115</v>
      </c>
      <c r="N44" s="146" t="s">
        <v>119</v>
      </c>
      <c r="O44" s="27"/>
      <c r="Q44" s="27"/>
      <c r="R44" s="27"/>
      <c r="S44" s="27"/>
      <c r="T44" s="27"/>
      <c r="X44" s="26"/>
    </row>
    <row r="45" spans="1:24" ht="15.75">
      <c r="A45" s="30" t="s">
        <v>20</v>
      </c>
      <c r="B45" s="30"/>
      <c r="C45" s="31"/>
      <c r="D45" s="31"/>
      <c r="E45" s="31"/>
      <c r="F45" s="31"/>
      <c r="G45" s="31"/>
      <c r="H45" s="31"/>
      <c r="I45" s="31"/>
      <c r="J45" s="31"/>
      <c r="K45" s="52">
        <f>SUM(K49:K63)</f>
        <v>0</v>
      </c>
      <c r="M45" s="147">
        <f>N45/8760/(K45+1E-50)</f>
        <v>0</v>
      </c>
      <c r="N45" s="148">
        <f>SUM(N49:N63)</f>
        <v>0</v>
      </c>
      <c r="O45" s="23"/>
      <c r="P45" s="23"/>
      <c r="Q45" s="27"/>
      <c r="R45" s="27"/>
      <c r="S45" s="27"/>
      <c r="T45" s="27"/>
      <c r="X45" s="26"/>
    </row>
    <row r="46" spans="1:24" ht="12.75">
      <c r="A46" s="165" t="s">
        <v>15</v>
      </c>
      <c r="B46" s="166"/>
      <c r="C46" s="32" t="s">
        <v>0</v>
      </c>
      <c r="D46" s="17" t="s">
        <v>1</v>
      </c>
      <c r="E46" s="17" t="s">
        <v>1</v>
      </c>
      <c r="F46" s="17" t="s">
        <v>2</v>
      </c>
      <c r="G46" s="17" t="s">
        <v>3</v>
      </c>
      <c r="H46" s="163" t="s">
        <v>4</v>
      </c>
      <c r="I46" s="164"/>
      <c r="J46" s="33"/>
      <c r="K46" s="17" t="s">
        <v>114</v>
      </c>
      <c r="M46" s="149" t="s">
        <v>113</v>
      </c>
      <c r="N46" s="149" t="s">
        <v>113</v>
      </c>
      <c r="O46" s="23"/>
      <c r="P46" s="23"/>
      <c r="Q46" s="27"/>
      <c r="R46" s="27"/>
      <c r="S46" s="27"/>
      <c r="T46" s="27"/>
      <c r="X46" s="26"/>
    </row>
    <row r="47" spans="1:24" ht="12.75" customHeight="1">
      <c r="A47" s="167" t="s">
        <v>83</v>
      </c>
      <c r="B47" s="168"/>
      <c r="C47" s="34"/>
      <c r="D47" s="18" t="s">
        <v>77</v>
      </c>
      <c r="E47" s="18" t="s">
        <v>6</v>
      </c>
      <c r="F47" s="18" t="s">
        <v>7</v>
      </c>
      <c r="G47" s="18" t="s">
        <v>8</v>
      </c>
      <c r="H47" s="69" t="s">
        <v>125</v>
      </c>
      <c r="I47" s="70" t="s">
        <v>126</v>
      </c>
      <c r="J47" s="33"/>
      <c r="K47" s="18" t="s">
        <v>9</v>
      </c>
      <c r="M47" s="149" t="s">
        <v>116</v>
      </c>
      <c r="N47" s="149" t="s">
        <v>118</v>
      </c>
      <c r="O47" s="23"/>
      <c r="P47" s="23"/>
      <c r="Q47" s="27"/>
      <c r="R47" s="27"/>
      <c r="S47" s="27"/>
      <c r="T47" s="27"/>
      <c r="X47" s="26"/>
    </row>
    <row r="48" spans="1:24" ht="12.75">
      <c r="A48" s="35" t="s">
        <v>16</v>
      </c>
      <c r="B48" s="35" t="s">
        <v>17</v>
      </c>
      <c r="C48" s="34"/>
      <c r="D48" s="18" t="s">
        <v>10</v>
      </c>
      <c r="E48" s="18" t="s">
        <v>10</v>
      </c>
      <c r="F48" s="18" t="s">
        <v>11</v>
      </c>
      <c r="G48" s="18" t="s">
        <v>12</v>
      </c>
      <c r="H48" s="36" t="s">
        <v>13</v>
      </c>
      <c r="I48" s="63" t="s">
        <v>14</v>
      </c>
      <c r="J48" s="17"/>
      <c r="K48" s="18" t="s">
        <v>12</v>
      </c>
      <c r="M48" s="149" t="s">
        <v>117</v>
      </c>
      <c r="N48" s="149" t="s">
        <v>41</v>
      </c>
      <c r="O48" s="23"/>
      <c r="P48" s="23"/>
      <c r="Q48" s="27"/>
      <c r="R48" s="27"/>
      <c r="S48" s="27"/>
      <c r="T48" s="27"/>
      <c r="X48" s="26"/>
    </row>
    <row r="49" spans="1:24" ht="12.75">
      <c r="A49" s="7"/>
      <c r="B49" s="7"/>
      <c r="C49" s="7"/>
      <c r="D49" s="7"/>
      <c r="E49" s="8"/>
      <c r="F49" s="8"/>
      <c r="G49" s="59">
        <f>F49*E49</f>
        <v>0</v>
      </c>
      <c r="H49" s="7"/>
      <c r="I49" s="7"/>
      <c r="J49" s="56">
        <v>1</v>
      </c>
      <c r="K49" s="59">
        <f>G49*H49/24*I49/7*J49</f>
        <v>0</v>
      </c>
      <c r="M49" s="150"/>
      <c r="N49" s="151">
        <f>M49*K49*8760</f>
        <v>0</v>
      </c>
      <c r="O49" s="39"/>
      <c r="P49" s="39"/>
      <c r="Q49" s="27"/>
      <c r="R49" s="27"/>
      <c r="S49" s="27"/>
      <c r="T49" s="27"/>
      <c r="X49" s="26"/>
    </row>
    <row r="50" spans="1:24" ht="12.75">
      <c r="A50" s="7"/>
      <c r="B50" s="7"/>
      <c r="C50" s="7"/>
      <c r="D50" s="7"/>
      <c r="E50" s="8"/>
      <c r="F50" s="8"/>
      <c r="G50" s="59">
        <f>F50*E50</f>
        <v>0</v>
      </c>
      <c r="H50" s="7"/>
      <c r="I50" s="7"/>
      <c r="J50" s="56">
        <v>1</v>
      </c>
      <c r="K50" s="59">
        <f>G50*H50/24*I50/7*J50</f>
        <v>0</v>
      </c>
      <c r="M50" s="150"/>
      <c r="N50" s="151">
        <f aca="true" t="shared" si="4" ref="N50:N63">M50*K50*8760</f>
        <v>0</v>
      </c>
      <c r="O50" s="39"/>
      <c r="P50" s="39"/>
      <c r="Q50" s="27"/>
      <c r="R50" s="27"/>
      <c r="S50" s="27"/>
      <c r="T50" s="27"/>
      <c r="X50" s="26"/>
    </row>
    <row r="51" spans="1:24" ht="12.75">
      <c r="A51" s="7"/>
      <c r="B51" s="7"/>
      <c r="C51" s="7"/>
      <c r="D51" s="7"/>
      <c r="E51" s="8"/>
      <c r="F51" s="8"/>
      <c r="G51" s="59">
        <f>F51*E51</f>
        <v>0</v>
      </c>
      <c r="H51" s="7"/>
      <c r="I51" s="7"/>
      <c r="J51" s="56">
        <v>1</v>
      </c>
      <c r="K51" s="59">
        <f>G51*H51/24*I51/7*J51</f>
        <v>0</v>
      </c>
      <c r="M51" s="150"/>
      <c r="N51" s="151">
        <f t="shared" si="4"/>
        <v>0</v>
      </c>
      <c r="O51" s="39"/>
      <c r="P51" s="39"/>
      <c r="Q51" s="27"/>
      <c r="R51" s="27"/>
      <c r="S51" s="27"/>
      <c r="T51" s="27"/>
      <c r="X51" s="26"/>
    </row>
    <row r="52" spans="1:24" ht="12.75">
      <c r="A52" s="7"/>
      <c r="B52" s="7"/>
      <c r="C52" s="7"/>
      <c r="D52" s="7"/>
      <c r="E52" s="8"/>
      <c r="F52" s="8"/>
      <c r="G52" s="59">
        <f>F52*E52</f>
        <v>0</v>
      </c>
      <c r="H52" s="7"/>
      <c r="I52" s="7"/>
      <c r="J52" s="56">
        <v>1</v>
      </c>
      <c r="K52" s="59">
        <f>G52*H52/24*I52/7*J52</f>
        <v>0</v>
      </c>
      <c r="M52" s="150"/>
      <c r="N52" s="151">
        <f t="shared" si="4"/>
        <v>0</v>
      </c>
      <c r="O52" s="39"/>
      <c r="P52" s="39"/>
      <c r="Q52" s="27"/>
      <c r="R52" s="27"/>
      <c r="S52" s="27"/>
      <c r="T52" s="27"/>
      <c r="X52" s="26"/>
    </row>
    <row r="53" spans="1:24" ht="12.75">
      <c r="A53" s="7"/>
      <c r="B53" s="7"/>
      <c r="C53" s="7"/>
      <c r="D53" s="7"/>
      <c r="E53" s="8"/>
      <c r="F53" s="8"/>
      <c r="G53" s="59">
        <f>F53*E53</f>
        <v>0</v>
      </c>
      <c r="H53" s="7"/>
      <c r="I53" s="7"/>
      <c r="J53" s="56">
        <v>1</v>
      </c>
      <c r="K53" s="59">
        <f>G53*H53/24*I53/7*J53</f>
        <v>0</v>
      </c>
      <c r="M53" s="150"/>
      <c r="N53" s="151">
        <f t="shared" si="4"/>
        <v>0</v>
      </c>
      <c r="O53" s="39"/>
      <c r="P53" s="39"/>
      <c r="Q53" s="27"/>
      <c r="R53" s="27"/>
      <c r="S53" s="27"/>
      <c r="T53" s="27"/>
      <c r="X53" s="26"/>
    </row>
    <row r="54" spans="1:24" ht="12.75">
      <c r="A54" s="7"/>
      <c r="B54" s="7"/>
      <c r="C54" s="7"/>
      <c r="D54" s="7"/>
      <c r="E54" s="8"/>
      <c r="F54" s="8"/>
      <c r="G54" s="59">
        <f aca="true" t="shared" si="5" ref="G54:G63">F54*E54</f>
        <v>0</v>
      </c>
      <c r="H54" s="7"/>
      <c r="I54" s="7"/>
      <c r="J54" s="56">
        <v>1</v>
      </c>
      <c r="K54" s="59">
        <f aca="true" t="shared" si="6" ref="K54:K63">G54*H54/24*I54/7*J54</f>
        <v>0</v>
      </c>
      <c r="M54" s="150"/>
      <c r="N54" s="151">
        <f t="shared" si="4"/>
        <v>0</v>
      </c>
      <c r="O54" s="39"/>
      <c r="P54" s="39"/>
      <c r="Q54" s="27"/>
      <c r="R54" s="27"/>
      <c r="S54" s="27"/>
      <c r="T54" s="27"/>
      <c r="X54" s="26"/>
    </row>
    <row r="55" spans="1:24" ht="12.75">
      <c r="A55" s="7"/>
      <c r="B55" s="7"/>
      <c r="C55" s="7"/>
      <c r="D55" s="7"/>
      <c r="E55" s="8"/>
      <c r="F55" s="8"/>
      <c r="G55" s="59">
        <f t="shared" si="5"/>
        <v>0</v>
      </c>
      <c r="H55" s="7"/>
      <c r="I55" s="7"/>
      <c r="J55" s="56">
        <v>1</v>
      </c>
      <c r="K55" s="59">
        <f t="shared" si="6"/>
        <v>0</v>
      </c>
      <c r="M55" s="150"/>
      <c r="N55" s="151">
        <f t="shared" si="4"/>
        <v>0</v>
      </c>
      <c r="O55" s="39"/>
      <c r="P55" s="39"/>
      <c r="Q55" s="27"/>
      <c r="R55" s="27"/>
      <c r="S55" s="27"/>
      <c r="T55" s="27"/>
      <c r="X55" s="26"/>
    </row>
    <row r="56" spans="1:24" ht="12.75">
      <c r="A56" s="7"/>
      <c r="B56" s="7"/>
      <c r="C56" s="7"/>
      <c r="D56" s="7"/>
      <c r="E56" s="8"/>
      <c r="F56" s="8"/>
      <c r="G56" s="59">
        <f t="shared" si="5"/>
        <v>0</v>
      </c>
      <c r="H56" s="7"/>
      <c r="I56" s="7"/>
      <c r="J56" s="56">
        <v>1</v>
      </c>
      <c r="K56" s="59">
        <f t="shared" si="6"/>
        <v>0</v>
      </c>
      <c r="M56" s="150"/>
      <c r="N56" s="151">
        <f t="shared" si="4"/>
        <v>0</v>
      </c>
      <c r="O56" s="39"/>
      <c r="P56" s="39"/>
      <c r="Q56" s="27"/>
      <c r="R56" s="27"/>
      <c r="S56" s="27"/>
      <c r="T56" s="27"/>
      <c r="X56" s="26"/>
    </row>
    <row r="57" spans="1:24" ht="12.75">
      <c r="A57" s="7"/>
      <c r="B57" s="7"/>
      <c r="C57" s="7"/>
      <c r="D57" s="7"/>
      <c r="E57" s="8"/>
      <c r="F57" s="8"/>
      <c r="G57" s="59">
        <f t="shared" si="5"/>
        <v>0</v>
      </c>
      <c r="H57" s="7"/>
      <c r="I57" s="7"/>
      <c r="J57" s="56">
        <v>1</v>
      </c>
      <c r="K57" s="59">
        <f t="shared" si="6"/>
        <v>0</v>
      </c>
      <c r="M57" s="150"/>
      <c r="N57" s="151">
        <f t="shared" si="4"/>
        <v>0</v>
      </c>
      <c r="O57" s="39"/>
      <c r="P57" s="39"/>
      <c r="Q57" s="27"/>
      <c r="R57" s="27"/>
      <c r="S57" s="27"/>
      <c r="T57" s="27"/>
      <c r="X57" s="26"/>
    </row>
    <row r="58" spans="1:24" ht="12.75">
      <c r="A58" s="7"/>
      <c r="B58" s="7"/>
      <c r="C58" s="7"/>
      <c r="D58" s="7"/>
      <c r="E58" s="8"/>
      <c r="F58" s="8"/>
      <c r="G58" s="59">
        <f t="shared" si="5"/>
        <v>0</v>
      </c>
      <c r="H58" s="7"/>
      <c r="I58" s="7"/>
      <c r="J58" s="56">
        <v>1</v>
      </c>
      <c r="K58" s="59">
        <f t="shared" si="6"/>
        <v>0</v>
      </c>
      <c r="M58" s="150"/>
      <c r="N58" s="151">
        <f t="shared" si="4"/>
        <v>0</v>
      </c>
      <c r="O58" s="38"/>
      <c r="P58" s="38"/>
      <c r="X58" s="26"/>
    </row>
    <row r="59" spans="1:24" ht="12.75">
      <c r="A59" s="7"/>
      <c r="B59" s="7"/>
      <c r="C59" s="7"/>
      <c r="D59" s="7"/>
      <c r="E59" s="8"/>
      <c r="F59" s="8"/>
      <c r="G59" s="59">
        <f t="shared" si="5"/>
        <v>0</v>
      </c>
      <c r="H59" s="7"/>
      <c r="I59" s="7"/>
      <c r="J59" s="56">
        <v>1</v>
      </c>
      <c r="K59" s="59">
        <f t="shared" si="6"/>
        <v>0</v>
      </c>
      <c r="M59" s="150"/>
      <c r="N59" s="151">
        <f t="shared" si="4"/>
        <v>0</v>
      </c>
      <c r="O59" s="38"/>
      <c r="P59" s="38"/>
      <c r="X59" s="26"/>
    </row>
    <row r="60" spans="1:24" ht="12.75">
      <c r="A60" s="7"/>
      <c r="B60" s="7"/>
      <c r="C60" s="7"/>
      <c r="D60" s="7"/>
      <c r="E60" s="8"/>
      <c r="F60" s="8"/>
      <c r="G60" s="59">
        <f t="shared" si="5"/>
        <v>0</v>
      </c>
      <c r="H60" s="7"/>
      <c r="I60" s="7"/>
      <c r="J60" s="56">
        <v>1</v>
      </c>
      <c r="K60" s="59">
        <f t="shared" si="6"/>
        <v>0</v>
      </c>
      <c r="M60" s="150"/>
      <c r="N60" s="151">
        <f t="shared" si="4"/>
        <v>0</v>
      </c>
      <c r="O60" s="38"/>
      <c r="P60" s="38"/>
      <c r="X60" s="26"/>
    </row>
    <row r="61" spans="1:24" ht="12.75">
      <c r="A61" s="7"/>
      <c r="B61" s="7"/>
      <c r="C61" s="7"/>
      <c r="D61" s="7"/>
      <c r="E61" s="8"/>
      <c r="F61" s="8"/>
      <c r="G61" s="59">
        <f t="shared" si="5"/>
        <v>0</v>
      </c>
      <c r="H61" s="7"/>
      <c r="I61" s="7"/>
      <c r="J61" s="56">
        <v>1</v>
      </c>
      <c r="K61" s="59">
        <f t="shared" si="6"/>
        <v>0</v>
      </c>
      <c r="M61" s="150"/>
      <c r="N61" s="151">
        <f t="shared" si="4"/>
        <v>0</v>
      </c>
      <c r="O61" s="38"/>
      <c r="P61" s="38"/>
      <c r="X61" s="26"/>
    </row>
    <row r="62" spans="1:24" ht="12.75">
      <c r="A62" s="7"/>
      <c r="B62" s="7"/>
      <c r="C62" s="7"/>
      <c r="D62" s="7"/>
      <c r="E62" s="8"/>
      <c r="F62" s="8"/>
      <c r="G62" s="59">
        <f t="shared" si="5"/>
        <v>0</v>
      </c>
      <c r="H62" s="7"/>
      <c r="I62" s="7"/>
      <c r="J62" s="56">
        <v>1</v>
      </c>
      <c r="K62" s="59">
        <f t="shared" si="6"/>
        <v>0</v>
      </c>
      <c r="M62" s="150"/>
      <c r="N62" s="151">
        <f t="shared" si="4"/>
        <v>0</v>
      </c>
      <c r="O62" s="40"/>
      <c r="P62" s="40"/>
      <c r="X62" s="26"/>
    </row>
    <row r="63" spans="1:24" ht="12.75">
      <c r="A63" s="7"/>
      <c r="B63" s="7"/>
      <c r="C63" s="7"/>
      <c r="D63" s="7"/>
      <c r="E63" s="8"/>
      <c r="F63" s="8"/>
      <c r="G63" s="59">
        <f t="shared" si="5"/>
        <v>0</v>
      </c>
      <c r="H63" s="7"/>
      <c r="I63" s="7"/>
      <c r="J63" s="56">
        <v>1</v>
      </c>
      <c r="K63" s="59">
        <f t="shared" si="6"/>
        <v>0</v>
      </c>
      <c r="M63" s="150"/>
      <c r="N63" s="151">
        <f t="shared" si="4"/>
        <v>0</v>
      </c>
      <c r="O63" s="2"/>
      <c r="P63" s="66"/>
      <c r="X63" s="26"/>
    </row>
    <row r="64" spans="1:24" ht="12.75">
      <c r="A64" s="55" t="str">
        <f>A$40</f>
        <v>© Ympäristöministeriö, LTO-laskin 2012 (versio marraskuu 2011)</v>
      </c>
      <c r="B64" s="43"/>
      <c r="I64" s="43"/>
      <c r="J64" s="43"/>
      <c r="K64" s="44"/>
      <c r="N64" s="97"/>
      <c r="O64" s="2"/>
      <c r="P64" s="66"/>
      <c r="X64" s="26"/>
    </row>
    <row r="65" spans="1:24" ht="12.75">
      <c r="A65" s="43"/>
      <c r="B65" s="43"/>
      <c r="I65" s="43"/>
      <c r="J65" s="43"/>
      <c r="K65" s="44"/>
      <c r="N65" s="97"/>
      <c r="O65" s="2"/>
      <c r="P65" s="66"/>
      <c r="X65" s="26"/>
    </row>
    <row r="66" spans="1:24" ht="12.75">
      <c r="A66" s="43"/>
      <c r="B66" s="43"/>
      <c r="I66" s="43"/>
      <c r="J66" s="43"/>
      <c r="L66" s="161" t="s">
        <v>132</v>
      </c>
      <c r="N66" s="97"/>
      <c r="O66" s="2"/>
      <c r="P66" s="66"/>
      <c r="X66" s="26"/>
    </row>
    <row r="67" spans="1:24" ht="13.5" customHeight="1">
      <c r="A67" s="43"/>
      <c r="B67" s="43"/>
      <c r="I67" s="43"/>
      <c r="J67" s="43"/>
      <c r="L67" s="162"/>
      <c r="M67" s="152"/>
      <c r="N67" s="97"/>
      <c r="O67" s="2"/>
      <c r="P67" s="66"/>
      <c r="X67" s="26"/>
    </row>
    <row r="68" spans="11:14" ht="42.75" customHeight="1">
      <c r="K68" s="29" t="s">
        <v>23</v>
      </c>
      <c r="L68" s="141" t="s">
        <v>112</v>
      </c>
      <c r="M68" s="153" t="s">
        <v>115</v>
      </c>
      <c r="N68" s="146" t="s">
        <v>119</v>
      </c>
    </row>
    <row r="69" spans="1:15" ht="15.75">
      <c r="A69" s="30" t="s">
        <v>21</v>
      </c>
      <c r="B69" s="30"/>
      <c r="C69" s="31"/>
      <c r="D69" s="31"/>
      <c r="E69" s="31"/>
      <c r="F69" s="31"/>
      <c r="G69" s="31"/>
      <c r="H69" s="31"/>
      <c r="I69" s="31"/>
      <c r="J69" s="31"/>
      <c r="K69" s="52">
        <f>SUM(K73:K97)</f>
        <v>0</v>
      </c>
      <c r="L69" s="142">
        <f>P71/(K69+1E-50)</f>
        <v>0</v>
      </c>
      <c r="M69" s="154">
        <f>N69/8760/(K69+1E-50)</f>
        <v>0</v>
      </c>
      <c r="N69" s="148">
        <f>SUM(N73:N97)</f>
        <v>0</v>
      </c>
      <c r="O69" s="2"/>
    </row>
    <row r="70" spans="1:16" ht="12.75">
      <c r="A70" s="165" t="s">
        <v>15</v>
      </c>
      <c r="B70" s="166"/>
      <c r="C70" s="32" t="s">
        <v>0</v>
      </c>
      <c r="D70" s="17" t="s">
        <v>1</v>
      </c>
      <c r="E70" s="17" t="s">
        <v>1</v>
      </c>
      <c r="F70" s="17" t="s">
        <v>2</v>
      </c>
      <c r="G70" s="17" t="s">
        <v>3</v>
      </c>
      <c r="H70" s="163" t="s">
        <v>4</v>
      </c>
      <c r="I70" s="164"/>
      <c r="J70" s="33"/>
      <c r="K70" s="17" t="s">
        <v>114</v>
      </c>
      <c r="L70" s="63" t="s">
        <v>113</v>
      </c>
      <c r="M70" s="155" t="s">
        <v>113</v>
      </c>
      <c r="N70" s="149" t="s">
        <v>113</v>
      </c>
      <c r="O70" s="2"/>
      <c r="P70" s="23" t="s">
        <v>5</v>
      </c>
    </row>
    <row r="71" spans="1:16" ht="12.75" customHeight="1">
      <c r="A71" s="167" t="s">
        <v>82</v>
      </c>
      <c r="B71" s="168"/>
      <c r="C71" s="34"/>
      <c r="D71" s="18" t="s">
        <v>77</v>
      </c>
      <c r="E71" s="18" t="s">
        <v>6</v>
      </c>
      <c r="F71" s="18" t="s">
        <v>7</v>
      </c>
      <c r="G71" s="18" t="s">
        <v>8</v>
      </c>
      <c r="H71" s="69" t="s">
        <v>125</v>
      </c>
      <c r="I71" s="70" t="s">
        <v>126</v>
      </c>
      <c r="J71" s="33"/>
      <c r="K71" s="18" t="s">
        <v>9</v>
      </c>
      <c r="L71" s="143" t="s">
        <v>123</v>
      </c>
      <c r="M71" s="155" t="s">
        <v>116</v>
      </c>
      <c r="N71" s="149" t="s">
        <v>118</v>
      </c>
      <c r="O71" s="2"/>
      <c r="P71" s="24">
        <f>SUM(P73:P97)</f>
        <v>0</v>
      </c>
    </row>
    <row r="72" spans="1:16" ht="15.75">
      <c r="A72" s="35" t="s">
        <v>16</v>
      </c>
      <c r="B72" s="35" t="s">
        <v>17</v>
      </c>
      <c r="C72" s="34"/>
      <c r="D72" s="18" t="s">
        <v>10</v>
      </c>
      <c r="E72" s="18" t="s">
        <v>10</v>
      </c>
      <c r="F72" s="18" t="s">
        <v>11</v>
      </c>
      <c r="G72" s="18" t="s">
        <v>12</v>
      </c>
      <c r="H72" s="36" t="s">
        <v>13</v>
      </c>
      <c r="I72" s="63" t="s">
        <v>14</v>
      </c>
      <c r="J72" s="17"/>
      <c r="K72" s="18" t="s">
        <v>12</v>
      </c>
      <c r="L72" s="143" t="s">
        <v>124</v>
      </c>
      <c r="M72" s="155" t="s">
        <v>117</v>
      </c>
      <c r="N72" s="149" t="s">
        <v>41</v>
      </c>
      <c r="O72" s="2"/>
      <c r="P72" s="23"/>
    </row>
    <row r="73" spans="1:16" ht="12.75">
      <c r="A73" s="7"/>
      <c r="B73" s="7"/>
      <c r="C73" s="7"/>
      <c r="D73" s="8"/>
      <c r="E73" s="8"/>
      <c r="F73" s="8"/>
      <c r="G73" s="59">
        <f>F73*E73</f>
        <v>0</v>
      </c>
      <c r="H73" s="7"/>
      <c r="I73" s="7"/>
      <c r="J73" s="56">
        <v>1</v>
      </c>
      <c r="K73" s="59">
        <f>G73*H73/24*I73/7*J73</f>
        <v>0</v>
      </c>
      <c r="L73" s="145"/>
      <c r="M73" s="156"/>
      <c r="N73" s="151">
        <f>M73*K73*8760</f>
        <v>0</v>
      </c>
      <c r="O73" s="38"/>
      <c r="P73" s="25">
        <f aca="true" t="shared" si="7" ref="P73:P97">K73*L73</f>
        <v>0</v>
      </c>
    </row>
    <row r="74" spans="1:16" ht="12.75">
      <c r="A74" s="7"/>
      <c r="B74" s="7"/>
      <c r="C74" s="7"/>
      <c r="D74" s="8"/>
      <c r="E74" s="8"/>
      <c r="F74" s="8"/>
      <c r="G74" s="59">
        <f aca="true" t="shared" si="8" ref="G74:G97">F74*E74</f>
        <v>0</v>
      </c>
      <c r="H74" s="7"/>
      <c r="I74" s="7"/>
      <c r="J74" s="56">
        <v>1</v>
      </c>
      <c r="K74" s="59">
        <f aca="true" t="shared" si="9" ref="K74:K97">G74*H74/24*I74/7*J74</f>
        <v>0</v>
      </c>
      <c r="L74" s="145"/>
      <c r="M74" s="156"/>
      <c r="N74" s="151">
        <f>M74*K74*8760</f>
        <v>0</v>
      </c>
      <c r="O74" s="38"/>
      <c r="P74" s="25">
        <f t="shared" si="7"/>
        <v>0</v>
      </c>
    </row>
    <row r="75" spans="1:16" ht="12.75">
      <c r="A75" s="7"/>
      <c r="B75" s="7"/>
      <c r="C75" s="7"/>
      <c r="D75" s="8"/>
      <c r="E75" s="8"/>
      <c r="F75" s="8"/>
      <c r="G75" s="59">
        <f t="shared" si="8"/>
        <v>0</v>
      </c>
      <c r="H75" s="7"/>
      <c r="I75" s="7"/>
      <c r="J75" s="56">
        <v>1</v>
      </c>
      <c r="K75" s="59">
        <f t="shared" si="9"/>
        <v>0</v>
      </c>
      <c r="L75" s="145"/>
      <c r="M75" s="156"/>
      <c r="N75" s="151">
        <f>M75*K75*8760</f>
        <v>0</v>
      </c>
      <c r="O75" s="38"/>
      <c r="P75" s="25">
        <f t="shared" si="7"/>
        <v>0</v>
      </c>
    </row>
    <row r="76" spans="1:16" ht="12.75">
      <c r="A76" s="7"/>
      <c r="B76" s="7"/>
      <c r="C76" s="7"/>
      <c r="D76" s="8"/>
      <c r="E76" s="8"/>
      <c r="F76" s="8"/>
      <c r="G76" s="59">
        <f t="shared" si="8"/>
        <v>0</v>
      </c>
      <c r="H76" s="7"/>
      <c r="I76" s="7"/>
      <c r="J76" s="56">
        <v>1</v>
      </c>
      <c r="K76" s="59">
        <f t="shared" si="9"/>
        <v>0</v>
      </c>
      <c r="L76" s="145"/>
      <c r="M76" s="156"/>
      <c r="N76" s="151">
        <f aca="true" t="shared" si="10" ref="N76:N97">M76*K76*8760</f>
        <v>0</v>
      </c>
      <c r="O76" s="38"/>
      <c r="P76" s="25">
        <f t="shared" si="7"/>
        <v>0</v>
      </c>
    </row>
    <row r="77" spans="1:16" ht="12.75">
      <c r="A77" s="7"/>
      <c r="B77" s="7"/>
      <c r="C77" s="7"/>
      <c r="D77" s="8"/>
      <c r="E77" s="8"/>
      <c r="F77" s="8"/>
      <c r="G77" s="59">
        <f t="shared" si="8"/>
        <v>0</v>
      </c>
      <c r="H77" s="7"/>
      <c r="I77" s="7"/>
      <c r="J77" s="56">
        <v>1</v>
      </c>
      <c r="K77" s="59">
        <f t="shared" si="9"/>
        <v>0</v>
      </c>
      <c r="L77" s="145"/>
      <c r="M77" s="156"/>
      <c r="N77" s="151">
        <f t="shared" si="10"/>
        <v>0</v>
      </c>
      <c r="O77" s="38"/>
      <c r="P77" s="25">
        <f t="shared" si="7"/>
        <v>0</v>
      </c>
    </row>
    <row r="78" spans="1:16" ht="12.75">
      <c r="A78" s="7"/>
      <c r="B78" s="7"/>
      <c r="C78" s="7"/>
      <c r="D78" s="8"/>
      <c r="E78" s="8"/>
      <c r="F78" s="8"/>
      <c r="G78" s="59">
        <f t="shared" si="8"/>
        <v>0</v>
      </c>
      <c r="H78" s="7"/>
      <c r="I78" s="7"/>
      <c r="J78" s="56">
        <v>1</v>
      </c>
      <c r="K78" s="59">
        <f t="shared" si="9"/>
        <v>0</v>
      </c>
      <c r="L78" s="145"/>
      <c r="M78" s="156"/>
      <c r="N78" s="151">
        <f t="shared" si="10"/>
        <v>0</v>
      </c>
      <c r="O78" s="38"/>
      <c r="P78" s="25">
        <f t="shared" si="7"/>
        <v>0</v>
      </c>
    </row>
    <row r="79" spans="1:16" ht="12.75">
      <c r="A79" s="7"/>
      <c r="B79" s="7"/>
      <c r="C79" s="7"/>
      <c r="D79" s="8"/>
      <c r="E79" s="8"/>
      <c r="F79" s="8"/>
      <c r="G79" s="59">
        <f t="shared" si="8"/>
        <v>0</v>
      </c>
      <c r="H79" s="7"/>
      <c r="I79" s="7"/>
      <c r="J79" s="56">
        <v>1</v>
      </c>
      <c r="K79" s="59">
        <f t="shared" si="9"/>
        <v>0</v>
      </c>
      <c r="L79" s="145"/>
      <c r="M79" s="156"/>
      <c r="N79" s="151">
        <f t="shared" si="10"/>
        <v>0</v>
      </c>
      <c r="O79" s="38"/>
      <c r="P79" s="25">
        <f t="shared" si="7"/>
        <v>0</v>
      </c>
    </row>
    <row r="80" spans="1:16" ht="12.75">
      <c r="A80" s="7"/>
      <c r="B80" s="7"/>
      <c r="C80" s="7"/>
      <c r="D80" s="8"/>
      <c r="E80" s="8"/>
      <c r="F80" s="8"/>
      <c r="G80" s="59">
        <f t="shared" si="8"/>
        <v>0</v>
      </c>
      <c r="H80" s="7"/>
      <c r="I80" s="7"/>
      <c r="J80" s="56">
        <v>1</v>
      </c>
      <c r="K80" s="59">
        <f t="shared" si="9"/>
        <v>0</v>
      </c>
      <c r="L80" s="145"/>
      <c r="M80" s="156"/>
      <c r="N80" s="151">
        <f t="shared" si="10"/>
        <v>0</v>
      </c>
      <c r="O80" s="38"/>
      <c r="P80" s="25">
        <f t="shared" si="7"/>
        <v>0</v>
      </c>
    </row>
    <row r="81" spans="1:16" ht="12.75">
      <c r="A81" s="7"/>
      <c r="B81" s="7"/>
      <c r="C81" s="7"/>
      <c r="D81" s="8"/>
      <c r="E81" s="8"/>
      <c r="F81" s="8"/>
      <c r="G81" s="59">
        <f t="shared" si="8"/>
        <v>0</v>
      </c>
      <c r="H81" s="7"/>
      <c r="I81" s="7"/>
      <c r="J81" s="56">
        <v>1</v>
      </c>
      <c r="K81" s="59">
        <f t="shared" si="9"/>
        <v>0</v>
      </c>
      <c r="L81" s="145"/>
      <c r="M81" s="156"/>
      <c r="N81" s="151">
        <f t="shared" si="10"/>
        <v>0</v>
      </c>
      <c r="O81" s="38"/>
      <c r="P81" s="25">
        <f t="shared" si="7"/>
        <v>0</v>
      </c>
    </row>
    <row r="82" spans="1:16" ht="12.75">
      <c r="A82" s="7"/>
      <c r="B82" s="7"/>
      <c r="C82" s="7"/>
      <c r="D82" s="8"/>
      <c r="E82" s="8"/>
      <c r="F82" s="8"/>
      <c r="G82" s="59">
        <f t="shared" si="8"/>
        <v>0</v>
      </c>
      <c r="H82" s="7"/>
      <c r="I82" s="7"/>
      <c r="J82" s="56">
        <v>1</v>
      </c>
      <c r="K82" s="59">
        <f t="shared" si="9"/>
        <v>0</v>
      </c>
      <c r="L82" s="145"/>
      <c r="M82" s="156"/>
      <c r="N82" s="151">
        <f t="shared" si="10"/>
        <v>0</v>
      </c>
      <c r="O82" s="38"/>
      <c r="P82" s="25">
        <f t="shared" si="7"/>
        <v>0</v>
      </c>
    </row>
    <row r="83" spans="1:16" ht="12.75">
      <c r="A83" s="7"/>
      <c r="B83" s="7"/>
      <c r="C83" s="7"/>
      <c r="D83" s="8"/>
      <c r="E83" s="8"/>
      <c r="F83" s="8"/>
      <c r="G83" s="59">
        <f t="shared" si="8"/>
        <v>0</v>
      </c>
      <c r="H83" s="7"/>
      <c r="I83" s="7"/>
      <c r="J83" s="56">
        <v>1</v>
      </c>
      <c r="K83" s="59">
        <f t="shared" si="9"/>
        <v>0</v>
      </c>
      <c r="L83" s="145"/>
      <c r="M83" s="156"/>
      <c r="N83" s="151">
        <f t="shared" si="10"/>
        <v>0</v>
      </c>
      <c r="O83" s="38"/>
      <c r="P83" s="25">
        <f t="shared" si="7"/>
        <v>0</v>
      </c>
    </row>
    <row r="84" spans="1:16" ht="12.75">
      <c r="A84" s="7"/>
      <c r="B84" s="7"/>
      <c r="C84" s="7"/>
      <c r="D84" s="8"/>
      <c r="E84" s="8"/>
      <c r="F84" s="8"/>
      <c r="G84" s="59">
        <f t="shared" si="8"/>
        <v>0</v>
      </c>
      <c r="H84" s="7"/>
      <c r="I84" s="7"/>
      <c r="J84" s="56">
        <v>1</v>
      </c>
      <c r="K84" s="59">
        <f t="shared" si="9"/>
        <v>0</v>
      </c>
      <c r="L84" s="145"/>
      <c r="M84" s="156"/>
      <c r="N84" s="151">
        <f t="shared" si="10"/>
        <v>0</v>
      </c>
      <c r="O84" s="38"/>
      <c r="P84" s="25">
        <f t="shared" si="7"/>
        <v>0</v>
      </c>
    </row>
    <row r="85" spans="1:16" ht="12.75">
      <c r="A85" s="7"/>
      <c r="B85" s="7"/>
      <c r="C85" s="7"/>
      <c r="D85" s="8"/>
      <c r="E85" s="8"/>
      <c r="F85" s="8"/>
      <c r="G85" s="59">
        <f t="shared" si="8"/>
        <v>0</v>
      </c>
      <c r="H85" s="7"/>
      <c r="I85" s="7"/>
      <c r="J85" s="56">
        <v>1</v>
      </c>
      <c r="K85" s="59">
        <f t="shared" si="9"/>
        <v>0</v>
      </c>
      <c r="L85" s="145"/>
      <c r="M85" s="156"/>
      <c r="N85" s="151">
        <f t="shared" si="10"/>
        <v>0</v>
      </c>
      <c r="O85" s="38"/>
      <c r="P85" s="25">
        <f t="shared" si="7"/>
        <v>0</v>
      </c>
    </row>
    <row r="86" spans="1:16" ht="12.75">
      <c r="A86" s="7"/>
      <c r="B86" s="7"/>
      <c r="C86" s="7"/>
      <c r="D86" s="8"/>
      <c r="E86" s="8"/>
      <c r="F86" s="8"/>
      <c r="G86" s="59">
        <f t="shared" si="8"/>
        <v>0</v>
      </c>
      <c r="H86" s="7"/>
      <c r="I86" s="7"/>
      <c r="J86" s="56">
        <v>1</v>
      </c>
      <c r="K86" s="59">
        <f t="shared" si="9"/>
        <v>0</v>
      </c>
      <c r="L86" s="145"/>
      <c r="M86" s="156"/>
      <c r="N86" s="151">
        <f t="shared" si="10"/>
        <v>0</v>
      </c>
      <c r="O86" s="38"/>
      <c r="P86" s="25">
        <f t="shared" si="7"/>
        <v>0</v>
      </c>
    </row>
    <row r="87" spans="1:16" ht="12.75">
      <c r="A87" s="7"/>
      <c r="B87" s="7"/>
      <c r="C87" s="7"/>
      <c r="D87" s="8"/>
      <c r="E87" s="8"/>
      <c r="F87" s="8"/>
      <c r="G87" s="59">
        <f t="shared" si="8"/>
        <v>0</v>
      </c>
      <c r="H87" s="7"/>
      <c r="I87" s="7"/>
      <c r="J87" s="56">
        <v>1</v>
      </c>
      <c r="K87" s="59">
        <f t="shared" si="9"/>
        <v>0</v>
      </c>
      <c r="L87" s="145"/>
      <c r="M87" s="156"/>
      <c r="N87" s="151">
        <f t="shared" si="10"/>
        <v>0</v>
      </c>
      <c r="O87" s="38"/>
      <c r="P87" s="25">
        <f t="shared" si="7"/>
        <v>0</v>
      </c>
    </row>
    <row r="88" spans="1:16" ht="12.75">
      <c r="A88" s="7"/>
      <c r="B88" s="7"/>
      <c r="C88" s="7"/>
      <c r="D88" s="8"/>
      <c r="E88" s="8"/>
      <c r="F88" s="8"/>
      <c r="G88" s="59">
        <f t="shared" si="8"/>
        <v>0</v>
      </c>
      <c r="H88" s="7"/>
      <c r="I88" s="7"/>
      <c r="J88" s="56">
        <v>1</v>
      </c>
      <c r="K88" s="59">
        <f t="shared" si="9"/>
        <v>0</v>
      </c>
      <c r="L88" s="145"/>
      <c r="M88" s="156"/>
      <c r="N88" s="151">
        <f t="shared" si="10"/>
        <v>0</v>
      </c>
      <c r="O88" s="38"/>
      <c r="P88" s="25">
        <f t="shared" si="7"/>
        <v>0</v>
      </c>
    </row>
    <row r="89" spans="1:16" ht="12.75">
      <c r="A89" s="7"/>
      <c r="B89" s="7"/>
      <c r="C89" s="7"/>
      <c r="D89" s="8"/>
      <c r="E89" s="8"/>
      <c r="F89" s="8"/>
      <c r="G89" s="59">
        <f t="shared" si="8"/>
        <v>0</v>
      </c>
      <c r="H89" s="7"/>
      <c r="I89" s="7"/>
      <c r="J89" s="56">
        <v>1</v>
      </c>
      <c r="K89" s="59">
        <f t="shared" si="9"/>
        <v>0</v>
      </c>
      <c r="L89" s="145"/>
      <c r="M89" s="156"/>
      <c r="N89" s="151">
        <f t="shared" si="10"/>
        <v>0</v>
      </c>
      <c r="O89" s="38"/>
      <c r="P89" s="25">
        <f t="shared" si="7"/>
        <v>0</v>
      </c>
    </row>
    <row r="90" spans="1:16" ht="12.75">
      <c r="A90" s="7"/>
      <c r="B90" s="7"/>
      <c r="C90" s="7"/>
      <c r="D90" s="8"/>
      <c r="E90" s="8"/>
      <c r="F90" s="8"/>
      <c r="G90" s="59">
        <f t="shared" si="8"/>
        <v>0</v>
      </c>
      <c r="H90" s="7"/>
      <c r="I90" s="7"/>
      <c r="J90" s="56">
        <v>1</v>
      </c>
      <c r="K90" s="59">
        <f t="shared" si="9"/>
        <v>0</v>
      </c>
      <c r="L90" s="145"/>
      <c r="M90" s="156"/>
      <c r="N90" s="151">
        <f t="shared" si="10"/>
        <v>0</v>
      </c>
      <c r="O90" s="38"/>
      <c r="P90" s="25">
        <f t="shared" si="7"/>
        <v>0</v>
      </c>
    </row>
    <row r="91" spans="1:16" ht="12.75">
      <c r="A91" s="7"/>
      <c r="B91" s="7"/>
      <c r="C91" s="7"/>
      <c r="D91" s="8"/>
      <c r="E91" s="8"/>
      <c r="F91" s="8"/>
      <c r="G91" s="59">
        <f t="shared" si="8"/>
        <v>0</v>
      </c>
      <c r="H91" s="7"/>
      <c r="I91" s="7"/>
      <c r="J91" s="56">
        <v>1</v>
      </c>
      <c r="K91" s="59">
        <f t="shared" si="9"/>
        <v>0</v>
      </c>
      <c r="L91" s="145"/>
      <c r="M91" s="156"/>
      <c r="N91" s="151">
        <f t="shared" si="10"/>
        <v>0</v>
      </c>
      <c r="O91" s="38"/>
      <c r="P91" s="25">
        <f t="shared" si="7"/>
        <v>0</v>
      </c>
    </row>
    <row r="92" spans="1:16" ht="12.75">
      <c r="A92" s="7"/>
      <c r="B92" s="7"/>
      <c r="C92" s="7"/>
      <c r="D92" s="8"/>
      <c r="E92" s="8"/>
      <c r="F92" s="8"/>
      <c r="G92" s="59">
        <f t="shared" si="8"/>
        <v>0</v>
      </c>
      <c r="H92" s="7"/>
      <c r="I92" s="7"/>
      <c r="J92" s="56">
        <v>1</v>
      </c>
      <c r="K92" s="59">
        <f t="shared" si="9"/>
        <v>0</v>
      </c>
      <c r="L92" s="145"/>
      <c r="M92" s="156"/>
      <c r="N92" s="151">
        <f t="shared" si="10"/>
        <v>0</v>
      </c>
      <c r="O92" s="38"/>
      <c r="P92" s="25">
        <f t="shared" si="7"/>
        <v>0</v>
      </c>
    </row>
    <row r="93" spans="1:16" ht="12.75">
      <c r="A93" s="7"/>
      <c r="B93" s="7"/>
      <c r="C93" s="7"/>
      <c r="D93" s="8"/>
      <c r="E93" s="8"/>
      <c r="F93" s="8"/>
      <c r="G93" s="59">
        <f t="shared" si="8"/>
        <v>0</v>
      </c>
      <c r="H93" s="7"/>
      <c r="I93" s="7"/>
      <c r="J93" s="56">
        <v>1</v>
      </c>
      <c r="K93" s="59">
        <f t="shared" si="9"/>
        <v>0</v>
      </c>
      <c r="L93" s="145"/>
      <c r="M93" s="156"/>
      <c r="N93" s="151">
        <f t="shared" si="10"/>
        <v>0</v>
      </c>
      <c r="O93" s="38"/>
      <c r="P93" s="25">
        <f t="shared" si="7"/>
        <v>0</v>
      </c>
    </row>
    <row r="94" spans="1:16" ht="12.75">
      <c r="A94" s="7"/>
      <c r="B94" s="7"/>
      <c r="C94" s="7"/>
      <c r="D94" s="8"/>
      <c r="E94" s="8"/>
      <c r="F94" s="8"/>
      <c r="G94" s="59">
        <f t="shared" si="8"/>
        <v>0</v>
      </c>
      <c r="H94" s="7"/>
      <c r="I94" s="7"/>
      <c r="J94" s="56">
        <v>1</v>
      </c>
      <c r="K94" s="59">
        <f t="shared" si="9"/>
        <v>0</v>
      </c>
      <c r="L94" s="145"/>
      <c r="M94" s="156"/>
      <c r="N94" s="151">
        <f t="shared" si="10"/>
        <v>0</v>
      </c>
      <c r="O94" s="38"/>
      <c r="P94" s="25">
        <f t="shared" si="7"/>
        <v>0</v>
      </c>
    </row>
    <row r="95" spans="1:16" ht="12.75">
      <c r="A95" s="7"/>
      <c r="B95" s="7"/>
      <c r="C95" s="7"/>
      <c r="D95" s="8"/>
      <c r="E95" s="8"/>
      <c r="F95" s="8"/>
      <c r="G95" s="59">
        <f t="shared" si="8"/>
        <v>0</v>
      </c>
      <c r="H95" s="7"/>
      <c r="I95" s="7"/>
      <c r="J95" s="56">
        <v>1</v>
      </c>
      <c r="K95" s="59">
        <f t="shared" si="9"/>
        <v>0</v>
      </c>
      <c r="L95" s="145"/>
      <c r="M95" s="156"/>
      <c r="N95" s="151">
        <f t="shared" si="10"/>
        <v>0</v>
      </c>
      <c r="O95" s="38"/>
      <c r="P95" s="25">
        <f t="shared" si="7"/>
        <v>0</v>
      </c>
    </row>
    <row r="96" spans="1:16" ht="12.75">
      <c r="A96" s="7"/>
      <c r="B96" s="7"/>
      <c r="C96" s="7"/>
      <c r="D96" s="8"/>
      <c r="E96" s="8"/>
      <c r="F96" s="8"/>
      <c r="G96" s="59">
        <f t="shared" si="8"/>
        <v>0</v>
      </c>
      <c r="H96" s="7"/>
      <c r="I96" s="7"/>
      <c r="J96" s="56">
        <v>1</v>
      </c>
      <c r="K96" s="59">
        <f t="shared" si="9"/>
        <v>0</v>
      </c>
      <c r="L96" s="145"/>
      <c r="M96" s="156"/>
      <c r="N96" s="151">
        <f t="shared" si="10"/>
        <v>0</v>
      </c>
      <c r="O96" s="38"/>
      <c r="P96" s="25">
        <f t="shared" si="7"/>
        <v>0</v>
      </c>
    </row>
    <row r="97" spans="1:16" ht="12.75">
      <c r="A97" s="7"/>
      <c r="B97" s="7"/>
      <c r="C97" s="7"/>
      <c r="D97" s="8"/>
      <c r="E97" s="8"/>
      <c r="F97" s="8"/>
      <c r="G97" s="59">
        <f t="shared" si="8"/>
        <v>0</v>
      </c>
      <c r="H97" s="7"/>
      <c r="I97" s="7"/>
      <c r="J97" s="56">
        <v>1</v>
      </c>
      <c r="K97" s="59">
        <f t="shared" si="9"/>
        <v>0</v>
      </c>
      <c r="L97" s="145"/>
      <c r="M97" s="156"/>
      <c r="N97" s="151">
        <f t="shared" si="10"/>
        <v>0</v>
      </c>
      <c r="O97" s="38"/>
      <c r="P97" s="25">
        <f t="shared" si="7"/>
        <v>0</v>
      </c>
    </row>
    <row r="98" spans="1:16" ht="12.75">
      <c r="A98" s="55" t="str">
        <f>A$40</f>
        <v>© Ympäristöministeriö, LTO-laskin 2012 (versio marraskuu 2011)</v>
      </c>
      <c r="B98" s="45"/>
      <c r="C98" s="45"/>
      <c r="D98" s="45"/>
      <c r="E98" s="46"/>
      <c r="F98" s="46"/>
      <c r="G98" s="47"/>
      <c r="H98" s="48"/>
      <c r="I98" s="48"/>
      <c r="J98" s="48"/>
      <c r="K98" s="49"/>
      <c r="L98" s="50"/>
      <c r="N98" s="94"/>
      <c r="O98" s="38"/>
      <c r="P98" s="25"/>
    </row>
    <row r="99" spans="1:16" ht="12.75">
      <c r="A99" s="45"/>
      <c r="B99" s="45"/>
      <c r="C99" s="45"/>
      <c r="D99" s="45"/>
      <c r="E99" s="46"/>
      <c r="F99" s="46"/>
      <c r="G99" s="47"/>
      <c r="H99" s="48"/>
      <c r="I99" s="48"/>
      <c r="J99" s="48"/>
      <c r="K99" s="49"/>
      <c r="L99" s="50"/>
      <c r="N99" s="94"/>
      <c r="O99" s="38"/>
      <c r="P99" s="25"/>
    </row>
    <row r="100" spans="1:16" ht="12.75">
      <c r="A100" s="45"/>
      <c r="B100" s="45"/>
      <c r="C100" s="45"/>
      <c r="D100" s="45"/>
      <c r="E100" s="46"/>
      <c r="F100" s="46"/>
      <c r="G100" s="47"/>
      <c r="H100" s="48"/>
      <c r="I100" s="48"/>
      <c r="J100" s="48"/>
      <c r="K100" s="161" t="s">
        <v>132</v>
      </c>
      <c r="L100" s="50"/>
      <c r="N100" s="94"/>
      <c r="O100" s="38"/>
      <c r="P100" s="25"/>
    </row>
    <row r="101" spans="1:16" ht="12.75">
      <c r="A101" s="45"/>
      <c r="B101" s="45"/>
      <c r="C101" s="45"/>
      <c r="D101" s="45"/>
      <c r="E101" s="46"/>
      <c r="F101" s="46"/>
      <c r="G101" s="47"/>
      <c r="H101" s="48"/>
      <c r="I101" s="48"/>
      <c r="J101" s="48"/>
      <c r="K101" s="162"/>
      <c r="L101" s="160"/>
      <c r="N101" s="94"/>
      <c r="O101" s="38"/>
      <c r="P101" s="25"/>
    </row>
    <row r="102" spans="1:14" ht="33.75" customHeight="1">
      <c r="A102" s="51"/>
      <c r="B102" s="51"/>
      <c r="C102" s="51"/>
      <c r="D102" s="51"/>
      <c r="E102" s="51"/>
      <c r="F102" s="51"/>
      <c r="K102" s="159" t="s">
        <v>23</v>
      </c>
      <c r="M102" s="146" t="s">
        <v>115</v>
      </c>
      <c r="N102" s="146" t="s">
        <v>119</v>
      </c>
    </row>
    <row r="103" spans="1:16" ht="15.75">
      <c r="A103" s="30" t="s">
        <v>22</v>
      </c>
      <c r="B103" s="30"/>
      <c r="C103" s="31"/>
      <c r="D103" s="31"/>
      <c r="E103" s="31"/>
      <c r="F103" s="31"/>
      <c r="G103" s="31"/>
      <c r="H103" s="31"/>
      <c r="I103" s="31"/>
      <c r="J103" s="31"/>
      <c r="K103" s="52"/>
      <c r="M103" s="147">
        <f>N103/8760/(K103+1E-50)</f>
        <v>0</v>
      </c>
      <c r="N103" s="148">
        <f>SUM(N107:N121)</f>
        <v>0</v>
      </c>
      <c r="O103" s="2"/>
      <c r="P103" s="23"/>
    </row>
    <row r="104" spans="1:16" ht="12.75">
      <c r="A104" s="165" t="s">
        <v>15</v>
      </c>
      <c r="B104" s="166"/>
      <c r="C104" s="32" t="s">
        <v>0</v>
      </c>
      <c r="D104" s="17" t="s">
        <v>1</v>
      </c>
      <c r="E104" s="17" t="s">
        <v>1</v>
      </c>
      <c r="F104" s="17" t="s">
        <v>2</v>
      </c>
      <c r="G104" s="17" t="s">
        <v>3</v>
      </c>
      <c r="H104" s="163" t="s">
        <v>4</v>
      </c>
      <c r="I104" s="164"/>
      <c r="J104" s="33"/>
      <c r="K104" s="17" t="s">
        <v>114</v>
      </c>
      <c r="M104" s="149" t="s">
        <v>113</v>
      </c>
      <c r="N104" s="149" t="s">
        <v>113</v>
      </c>
      <c r="O104" s="2"/>
      <c r="P104" s="23"/>
    </row>
    <row r="105" spans="1:16" ht="12.75" customHeight="1">
      <c r="A105" s="167" t="s">
        <v>83</v>
      </c>
      <c r="B105" s="168"/>
      <c r="C105" s="34"/>
      <c r="D105" s="18" t="s">
        <v>77</v>
      </c>
      <c r="E105" s="18" t="s">
        <v>6</v>
      </c>
      <c r="F105" s="18" t="s">
        <v>7</v>
      </c>
      <c r="G105" s="18" t="s">
        <v>8</v>
      </c>
      <c r="H105" s="69" t="s">
        <v>125</v>
      </c>
      <c r="I105" s="70" t="s">
        <v>126</v>
      </c>
      <c r="J105" s="33"/>
      <c r="K105" s="18" t="s">
        <v>9</v>
      </c>
      <c r="M105" s="149" t="s">
        <v>116</v>
      </c>
      <c r="N105" s="149" t="s">
        <v>118</v>
      </c>
      <c r="O105" s="2"/>
      <c r="P105" s="23"/>
    </row>
    <row r="106" spans="1:16" ht="12.75">
      <c r="A106" s="35" t="s">
        <v>16</v>
      </c>
      <c r="B106" s="35" t="s">
        <v>17</v>
      </c>
      <c r="C106" s="34"/>
      <c r="D106" s="18" t="s">
        <v>10</v>
      </c>
      <c r="E106" s="18" t="s">
        <v>10</v>
      </c>
      <c r="F106" s="18" t="s">
        <v>11</v>
      </c>
      <c r="G106" s="18" t="s">
        <v>12</v>
      </c>
      <c r="H106" s="36" t="s">
        <v>13</v>
      </c>
      <c r="I106" s="63" t="s">
        <v>14</v>
      </c>
      <c r="J106" s="17"/>
      <c r="K106" s="18" t="s">
        <v>12</v>
      </c>
      <c r="M106" s="149" t="s">
        <v>117</v>
      </c>
      <c r="N106" s="149" t="s">
        <v>41</v>
      </c>
      <c r="O106" s="2"/>
      <c r="P106" s="23"/>
    </row>
    <row r="107" spans="1:16" ht="12.75">
      <c r="A107" s="7"/>
      <c r="B107" s="7"/>
      <c r="C107" s="7"/>
      <c r="D107" s="7"/>
      <c r="E107" s="7"/>
      <c r="F107" s="7"/>
      <c r="G107" s="59">
        <f>F107*E107</f>
        <v>0</v>
      </c>
      <c r="H107" s="7"/>
      <c r="I107" s="7"/>
      <c r="J107" s="56">
        <v>1</v>
      </c>
      <c r="K107" s="59">
        <f>G107*H107/24*I107/7*J107</f>
        <v>0</v>
      </c>
      <c r="M107" s="150"/>
      <c r="N107" s="151">
        <f>M107*K107*8760</f>
        <v>0</v>
      </c>
      <c r="O107" s="38"/>
      <c r="P107" s="39"/>
    </row>
    <row r="108" spans="1:16" ht="12.75">
      <c r="A108" s="7"/>
      <c r="B108" s="7"/>
      <c r="C108" s="7"/>
      <c r="D108" s="7"/>
      <c r="E108" s="7"/>
      <c r="F108" s="7"/>
      <c r="G108" s="59">
        <f>F108*E108</f>
        <v>0</v>
      </c>
      <c r="H108" s="7"/>
      <c r="I108" s="7"/>
      <c r="J108" s="56">
        <v>1</v>
      </c>
      <c r="K108" s="59">
        <f>G108*H108/24*I108/7*J108</f>
        <v>0</v>
      </c>
      <c r="M108" s="150"/>
      <c r="N108" s="151">
        <f aca="true" t="shared" si="11" ref="N108:N121">M108*K108*8760</f>
        <v>0</v>
      </c>
      <c r="O108" s="38"/>
      <c r="P108" s="39"/>
    </row>
    <row r="109" spans="1:16" ht="12.75">
      <c r="A109" s="7"/>
      <c r="B109" s="7"/>
      <c r="C109" s="7"/>
      <c r="D109" s="7"/>
      <c r="E109" s="7"/>
      <c r="F109" s="7"/>
      <c r="G109" s="59">
        <f>F109*E109</f>
        <v>0</v>
      </c>
      <c r="H109" s="7"/>
      <c r="I109" s="7"/>
      <c r="J109" s="56">
        <v>1</v>
      </c>
      <c r="K109" s="59">
        <f>G109*H109/24*I109/7*J109</f>
        <v>0</v>
      </c>
      <c r="M109" s="150"/>
      <c r="N109" s="151">
        <f t="shared" si="11"/>
        <v>0</v>
      </c>
      <c r="O109" s="38"/>
      <c r="P109" s="39"/>
    </row>
    <row r="110" spans="1:16" ht="12.75">
      <c r="A110" s="7"/>
      <c r="B110" s="7"/>
      <c r="C110" s="7"/>
      <c r="D110" s="7"/>
      <c r="E110" s="7"/>
      <c r="F110" s="7"/>
      <c r="G110" s="59">
        <f>F110*E110</f>
        <v>0</v>
      </c>
      <c r="H110" s="7"/>
      <c r="I110" s="7"/>
      <c r="J110" s="56">
        <v>1</v>
      </c>
      <c r="K110" s="59">
        <f>G110*H110/24*I110/7*J110</f>
        <v>0</v>
      </c>
      <c r="M110" s="150"/>
      <c r="N110" s="151">
        <f t="shared" si="11"/>
        <v>0</v>
      </c>
      <c r="O110" s="38"/>
      <c r="P110" s="39"/>
    </row>
    <row r="111" spans="1:16" ht="12.75">
      <c r="A111" s="7"/>
      <c r="B111" s="7"/>
      <c r="C111" s="7"/>
      <c r="D111" s="7"/>
      <c r="E111" s="7"/>
      <c r="F111" s="7"/>
      <c r="G111" s="59">
        <f>F111*E111</f>
        <v>0</v>
      </c>
      <c r="H111" s="7"/>
      <c r="I111" s="7"/>
      <c r="J111" s="56">
        <v>1</v>
      </c>
      <c r="K111" s="59">
        <f>G111*H111/24*I111/7*J111</f>
        <v>0</v>
      </c>
      <c r="M111" s="150"/>
      <c r="N111" s="151">
        <f t="shared" si="11"/>
        <v>0</v>
      </c>
      <c r="O111" s="38"/>
      <c r="P111" s="39"/>
    </row>
    <row r="112" spans="1:16" ht="12.75">
      <c r="A112" s="7"/>
      <c r="B112" s="7"/>
      <c r="C112" s="7"/>
      <c r="D112" s="7"/>
      <c r="E112" s="7"/>
      <c r="F112" s="7"/>
      <c r="G112" s="59">
        <f aca="true" t="shared" si="12" ref="G112:G121">F112*E112</f>
        <v>0</v>
      </c>
      <c r="H112" s="7"/>
      <c r="I112" s="7"/>
      <c r="J112" s="56">
        <v>1</v>
      </c>
      <c r="K112" s="59">
        <f aca="true" t="shared" si="13" ref="K112:K121">G112*H112/24*I112/7*J112</f>
        <v>0</v>
      </c>
      <c r="M112" s="150"/>
      <c r="N112" s="151">
        <f t="shared" si="11"/>
        <v>0</v>
      </c>
      <c r="O112" s="38"/>
      <c r="P112" s="39"/>
    </row>
    <row r="113" spans="1:16" ht="12.75">
      <c r="A113" s="7"/>
      <c r="B113" s="7"/>
      <c r="C113" s="7"/>
      <c r="D113" s="7"/>
      <c r="E113" s="7"/>
      <c r="F113" s="7"/>
      <c r="G113" s="59">
        <f t="shared" si="12"/>
        <v>0</v>
      </c>
      <c r="H113" s="7"/>
      <c r="I113" s="7"/>
      <c r="J113" s="56">
        <v>1</v>
      </c>
      <c r="K113" s="59">
        <f t="shared" si="13"/>
        <v>0</v>
      </c>
      <c r="M113" s="150"/>
      <c r="N113" s="151">
        <f t="shared" si="11"/>
        <v>0</v>
      </c>
      <c r="O113" s="38"/>
      <c r="P113" s="39"/>
    </row>
    <row r="114" spans="1:16" ht="12.75">
      <c r="A114" s="7"/>
      <c r="B114" s="7"/>
      <c r="C114" s="7"/>
      <c r="D114" s="7"/>
      <c r="E114" s="7"/>
      <c r="F114" s="7"/>
      <c r="G114" s="59">
        <f t="shared" si="12"/>
        <v>0</v>
      </c>
      <c r="H114" s="7"/>
      <c r="I114" s="7"/>
      <c r="J114" s="56">
        <v>1</v>
      </c>
      <c r="K114" s="59">
        <f t="shared" si="13"/>
        <v>0</v>
      </c>
      <c r="M114" s="150"/>
      <c r="N114" s="151">
        <f t="shared" si="11"/>
        <v>0</v>
      </c>
      <c r="O114" s="38"/>
      <c r="P114" s="39"/>
    </row>
    <row r="115" spans="1:16" ht="12.75">
      <c r="A115" s="7"/>
      <c r="B115" s="7"/>
      <c r="C115" s="7"/>
      <c r="D115" s="7"/>
      <c r="E115" s="7"/>
      <c r="F115" s="7"/>
      <c r="G115" s="59">
        <f t="shared" si="12"/>
        <v>0</v>
      </c>
      <c r="H115" s="7"/>
      <c r="I115" s="7"/>
      <c r="J115" s="56">
        <v>1</v>
      </c>
      <c r="K115" s="59">
        <f t="shared" si="13"/>
        <v>0</v>
      </c>
      <c r="M115" s="150"/>
      <c r="N115" s="151">
        <f t="shared" si="11"/>
        <v>0</v>
      </c>
      <c r="O115" s="38"/>
      <c r="P115" s="39"/>
    </row>
    <row r="116" spans="1:16" ht="12.75">
      <c r="A116" s="7"/>
      <c r="B116" s="7"/>
      <c r="C116" s="7"/>
      <c r="D116" s="7"/>
      <c r="E116" s="7"/>
      <c r="F116" s="7"/>
      <c r="G116" s="59">
        <f t="shared" si="12"/>
        <v>0</v>
      </c>
      <c r="H116" s="7"/>
      <c r="I116" s="7"/>
      <c r="J116" s="56">
        <v>1</v>
      </c>
      <c r="K116" s="59">
        <f t="shared" si="13"/>
        <v>0</v>
      </c>
      <c r="M116" s="150"/>
      <c r="N116" s="151">
        <f t="shared" si="11"/>
        <v>0</v>
      </c>
      <c r="O116" s="38"/>
      <c r="P116" s="39"/>
    </row>
    <row r="117" spans="1:16" ht="12.75">
      <c r="A117" s="7"/>
      <c r="B117" s="7"/>
      <c r="C117" s="7"/>
      <c r="D117" s="7"/>
      <c r="E117" s="7"/>
      <c r="F117" s="7"/>
      <c r="G117" s="59">
        <f t="shared" si="12"/>
        <v>0</v>
      </c>
      <c r="H117" s="7"/>
      <c r="I117" s="7"/>
      <c r="J117" s="56">
        <v>1</v>
      </c>
      <c r="K117" s="59">
        <f t="shared" si="13"/>
        <v>0</v>
      </c>
      <c r="M117" s="150"/>
      <c r="N117" s="151">
        <f t="shared" si="11"/>
        <v>0</v>
      </c>
      <c r="O117" s="38"/>
      <c r="P117" s="39"/>
    </row>
    <row r="118" spans="1:16" ht="12.75">
      <c r="A118" s="7"/>
      <c r="B118" s="7"/>
      <c r="C118" s="7"/>
      <c r="D118" s="7"/>
      <c r="E118" s="7"/>
      <c r="F118" s="7"/>
      <c r="G118" s="59">
        <f t="shared" si="12"/>
        <v>0</v>
      </c>
      <c r="H118" s="7"/>
      <c r="I118" s="7"/>
      <c r="J118" s="56">
        <v>1</v>
      </c>
      <c r="K118" s="59">
        <f t="shared" si="13"/>
        <v>0</v>
      </c>
      <c r="M118" s="150"/>
      <c r="N118" s="151">
        <f t="shared" si="11"/>
        <v>0</v>
      </c>
      <c r="O118" s="38"/>
      <c r="P118" s="39"/>
    </row>
    <row r="119" spans="1:16" ht="12.75">
      <c r="A119" s="7"/>
      <c r="B119" s="7"/>
      <c r="C119" s="7"/>
      <c r="D119" s="7"/>
      <c r="E119" s="7"/>
      <c r="F119" s="7"/>
      <c r="G119" s="59">
        <f t="shared" si="12"/>
        <v>0</v>
      </c>
      <c r="H119" s="7"/>
      <c r="I119" s="7"/>
      <c r="J119" s="56">
        <v>1</v>
      </c>
      <c r="K119" s="59">
        <f t="shared" si="13"/>
        <v>0</v>
      </c>
      <c r="M119" s="150"/>
      <c r="N119" s="151">
        <f t="shared" si="11"/>
        <v>0</v>
      </c>
      <c r="O119" s="38"/>
      <c r="P119" s="39"/>
    </row>
    <row r="120" spans="1:16" ht="12.75">
      <c r="A120" s="7"/>
      <c r="B120" s="7"/>
      <c r="C120" s="7"/>
      <c r="D120" s="7"/>
      <c r="E120" s="7"/>
      <c r="F120" s="7"/>
      <c r="G120" s="59">
        <f t="shared" si="12"/>
        <v>0</v>
      </c>
      <c r="H120" s="7"/>
      <c r="I120" s="7"/>
      <c r="J120" s="56">
        <v>1</v>
      </c>
      <c r="K120" s="59">
        <f t="shared" si="13"/>
        <v>0</v>
      </c>
      <c r="M120" s="150"/>
      <c r="N120" s="151">
        <f t="shared" si="11"/>
        <v>0</v>
      </c>
      <c r="O120" s="40"/>
      <c r="P120" s="41"/>
    </row>
    <row r="121" spans="1:16" ht="12.75">
      <c r="A121" s="7"/>
      <c r="B121" s="7"/>
      <c r="C121" s="7"/>
      <c r="D121" s="7"/>
      <c r="E121" s="7"/>
      <c r="F121" s="7"/>
      <c r="G121" s="59">
        <f t="shared" si="12"/>
        <v>0</v>
      </c>
      <c r="H121" s="7"/>
      <c r="I121" s="7"/>
      <c r="J121" s="56">
        <v>1</v>
      </c>
      <c r="K121" s="59">
        <f t="shared" si="13"/>
        <v>0</v>
      </c>
      <c r="M121" s="150"/>
      <c r="N121" s="151">
        <f t="shared" si="11"/>
        <v>0</v>
      </c>
      <c r="O121" s="2"/>
      <c r="P121" s="42"/>
    </row>
    <row r="122" spans="1:16" ht="12.75">
      <c r="A122" s="55" t="str">
        <f>A$40</f>
        <v>© Ympäristöministeriö, LTO-laskin 2012 (versio marraskuu 2011)</v>
      </c>
      <c r="B122" s="43"/>
      <c r="I122" s="43"/>
      <c r="J122" s="43"/>
      <c r="K122" s="44"/>
      <c r="O122" s="2"/>
      <c r="P122" s="42"/>
    </row>
  </sheetData>
  <sheetProtection password="94B5" sheet="1" objects="1" scenarios="1" selectLockedCells="1"/>
  <mergeCells count="22">
    <mergeCell ref="H104:I104"/>
    <mergeCell ref="H1:L1"/>
    <mergeCell ref="H2:L2"/>
    <mergeCell ref="H3:L3"/>
    <mergeCell ref="H4:L4"/>
    <mergeCell ref="H5:L5"/>
    <mergeCell ref="H6:L6"/>
    <mergeCell ref="A104:B104"/>
    <mergeCell ref="A105:B105"/>
    <mergeCell ref="A12:B12"/>
    <mergeCell ref="A13:B13"/>
    <mergeCell ref="A46:B46"/>
    <mergeCell ref="A47:B47"/>
    <mergeCell ref="A70:B70"/>
    <mergeCell ref="A71:B71"/>
    <mergeCell ref="L8:L9"/>
    <mergeCell ref="L66:L67"/>
    <mergeCell ref="K42:K43"/>
    <mergeCell ref="K100:K101"/>
    <mergeCell ref="H12:I12"/>
    <mergeCell ref="H46:I46"/>
    <mergeCell ref="H70:I70"/>
  </mergeCells>
  <printOptions/>
  <pageMargins left="0.5118110236220472" right="0.1968503937007874" top="1.062992125984252" bottom="0.4330708661417323" header="0.5118110236220472" footer="0.2755905511811024"/>
  <pageSetup fitToHeight="4" horizontalDpi="600" verticalDpi="600" orientation="landscape" paperSize="9" scale="85" r:id="rId3"/>
  <headerFooter alignWithMargins="0">
    <oddHeader>&amp;CRakennuksen ilmanvaihdon lämmöntalteenoton vuosihyötysuhteen laskenta, D3-2012 (voimassa 1.7.2012 alkaen)</oddHeader>
    <oddFooter>&amp;C&amp;P (&amp;N)</oddFooter>
  </headerFooter>
  <rowBreaks count="3" manualBreakCount="3">
    <brk id="40" max="255" man="1"/>
    <brk id="64" max="255" man="1"/>
    <brk id="98"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A14" sqref="A14"/>
    </sheetView>
  </sheetViews>
  <sheetFormatPr defaultColWidth="8.8515625" defaultRowHeight="12.75"/>
  <cols>
    <col min="1" max="1" width="18.421875" style="1" customWidth="1"/>
    <col min="2" max="2" width="42.28125" style="1" customWidth="1"/>
    <col min="3" max="3" width="12.00390625" style="1" customWidth="1"/>
    <col min="4" max="4" width="11.140625" style="1" customWidth="1"/>
    <col min="5" max="5" width="12.28125" style="1" customWidth="1"/>
    <col min="6" max="16384" width="8.8515625" style="1" customWidth="1"/>
  </cols>
  <sheetData>
    <row r="1" spans="1:6" ht="12.75">
      <c r="A1" s="54" t="s">
        <v>86</v>
      </c>
      <c r="B1" s="181" t="str">
        <f>IF(Ilmanvaihto!H1=0,"",Ilmanvaihto!H1)</f>
        <v>RET-pientalo</v>
      </c>
      <c r="C1" s="182"/>
      <c r="D1" s="182"/>
      <c r="E1" s="182"/>
      <c r="F1" s="183"/>
    </row>
    <row r="2" spans="1:6" ht="12.75">
      <c r="A2" s="158" t="s">
        <v>87</v>
      </c>
      <c r="B2" s="187" t="str">
        <f>IF(Ilmanvaihto!H2=0,"",Ilmanvaihto!H2)</f>
        <v>esimerkki</v>
      </c>
      <c r="C2" s="188"/>
      <c r="D2" s="188"/>
      <c r="E2" s="188"/>
      <c r="F2" s="189"/>
    </row>
    <row r="3" spans="1:6" ht="12.75">
      <c r="A3" s="54" t="s">
        <v>88</v>
      </c>
      <c r="B3" s="181" t="str">
        <f>IF(Ilmanvaihto!H3=0,"",Ilmanvaihto!H3)</f>
        <v>1-kerroksinen pientalo, ikkunapinta-ala 15 % kerrostasoalasta.</v>
      </c>
      <c r="C3" s="182"/>
      <c r="D3" s="182"/>
      <c r="E3" s="182"/>
      <c r="F3" s="183"/>
    </row>
    <row r="4" spans="1:6" ht="12.75">
      <c r="A4" s="54" t="s">
        <v>89</v>
      </c>
      <c r="B4" s="181" t="str">
        <f>IF(Ilmanvaihto!H4=0,"",Ilmanvaihto!H4)</f>
        <v>Jukka Talonen</v>
      </c>
      <c r="C4" s="182"/>
      <c r="D4" s="182"/>
      <c r="E4" s="182"/>
      <c r="F4" s="183"/>
    </row>
    <row r="5" spans="1:6" ht="12.75">
      <c r="A5" s="54" t="s">
        <v>91</v>
      </c>
      <c r="B5" s="181" t="str">
        <f>IF(Ilmanvaihto!H5=0,"",Ilmanvaihto!H5)</f>
        <v>Lemmi Talteri</v>
      </c>
      <c r="C5" s="182"/>
      <c r="D5" s="182"/>
      <c r="E5" s="182"/>
      <c r="F5" s="183"/>
    </row>
    <row r="6" spans="1:6" ht="12.75">
      <c r="A6" s="54" t="s">
        <v>90</v>
      </c>
      <c r="B6" s="184">
        <f>IF(Ilmanvaihto!H6=0,"",Ilmanvaihto!H6)</f>
        <v>41091</v>
      </c>
      <c r="C6" s="185"/>
      <c r="D6" s="185"/>
      <c r="E6" s="185"/>
      <c r="F6" s="186"/>
    </row>
    <row r="7" ht="12.75"/>
    <row r="8" ht="15.75" customHeight="1">
      <c r="B8" s="3" t="s">
        <v>122</v>
      </c>
    </row>
    <row r="9" ht="18.75">
      <c r="B9" s="3" t="s">
        <v>120</v>
      </c>
    </row>
    <row r="10" ht="15.75" customHeight="1">
      <c r="B10" s="3" t="s">
        <v>70</v>
      </c>
    </row>
    <row r="11" spans="2:6" ht="15.75" customHeight="1">
      <c r="B11" s="3"/>
      <c r="D11" s="17" t="s">
        <v>1</v>
      </c>
      <c r="E11" s="17" t="s">
        <v>1</v>
      </c>
      <c r="F11" s="17" t="s">
        <v>2</v>
      </c>
    </row>
    <row r="12" spans="2:6" ht="15.75" customHeight="1">
      <c r="B12" s="3"/>
      <c r="D12" s="18" t="s">
        <v>77</v>
      </c>
      <c r="E12" s="18" t="s">
        <v>6</v>
      </c>
      <c r="F12" s="18" t="s">
        <v>7</v>
      </c>
    </row>
    <row r="13" spans="1:6" ht="15.75" customHeight="1">
      <c r="A13" s="4" t="s">
        <v>16</v>
      </c>
      <c r="B13" s="4" t="s">
        <v>17</v>
      </c>
      <c r="C13" s="5" t="s">
        <v>0</v>
      </c>
      <c r="D13" s="19" t="s">
        <v>10</v>
      </c>
      <c r="E13" s="18" t="s">
        <v>10</v>
      </c>
      <c r="F13" s="18" t="s">
        <v>11</v>
      </c>
    </row>
    <row r="14" spans="1:6" ht="29.25" customHeight="1">
      <c r="A14" s="9" t="s">
        <v>94</v>
      </c>
      <c r="B14" s="9" t="s">
        <v>95</v>
      </c>
      <c r="C14" s="9" t="s">
        <v>101</v>
      </c>
      <c r="D14" s="57">
        <v>0.04</v>
      </c>
      <c r="E14" s="57">
        <v>0.043</v>
      </c>
      <c r="F14" s="12">
        <v>1</v>
      </c>
    </row>
    <row r="15" ht="12.75"/>
    <row r="16" spans="2:4" ht="12.75">
      <c r="B16" s="1" t="s">
        <v>84</v>
      </c>
      <c r="C16" s="10">
        <v>0.8</v>
      </c>
      <c r="D16" s="1" t="s">
        <v>85</v>
      </c>
    </row>
    <row r="17" spans="2:3" ht="12.75">
      <c r="B17" s="1" t="s">
        <v>72</v>
      </c>
      <c r="C17" s="20">
        <f>MIN(1,(C16&gt;=0)*(C16&lt;=1)*(2/(1+C19)*C16)+(C16&gt;1)*(C16&lt;=100)*(2/(1+C19)*C16/100)+(C16&lt;0)*0+(C16&gt;100)*0)</f>
        <v>0.8289156626506025</v>
      </c>
    </row>
    <row r="18" spans="2:3" ht="12.75">
      <c r="B18" s="1" t="s">
        <v>46</v>
      </c>
      <c r="C18" s="20">
        <f>MIN(1,C17*C19)</f>
        <v>0.7710843373493977</v>
      </c>
    </row>
    <row r="19" spans="2:3" ht="12.75">
      <c r="B19" s="1" t="s">
        <v>73</v>
      </c>
      <c r="C19" s="20">
        <f>D14/E14</f>
        <v>0.930232558139535</v>
      </c>
    </row>
    <row r="20" ht="12.75"/>
    <row r="21" spans="2:4" ht="12.75">
      <c r="B21" s="1" t="s">
        <v>74</v>
      </c>
      <c r="C21" s="11">
        <v>21</v>
      </c>
      <c r="D21" s="53" t="s">
        <v>75</v>
      </c>
    </row>
    <row r="22" spans="2:4" ht="12.75">
      <c r="B22" s="1" t="s">
        <v>76</v>
      </c>
      <c r="C22" s="11">
        <v>5</v>
      </c>
      <c r="D22" s="53" t="s">
        <v>75</v>
      </c>
    </row>
    <row r="23" ht="12.75"/>
    <row r="24" ht="18.75">
      <c r="B24" s="3" t="s">
        <v>121</v>
      </c>
    </row>
    <row r="25" ht="12.75">
      <c r="B25" s="1" t="s">
        <v>71</v>
      </c>
    </row>
    <row r="26" spans="2:4" ht="12.75">
      <c r="B26" s="58" t="s">
        <v>111</v>
      </c>
      <c r="C26" s="22">
        <f>'Hki-2012'!H6</f>
        <v>0.6847537045607505</v>
      </c>
      <c r="D26" s="15">
        <f>C26/C$26</f>
        <v>1</v>
      </c>
    </row>
    <row r="27" spans="2:4" ht="12.75">
      <c r="B27" t="s">
        <v>109</v>
      </c>
      <c r="C27" s="65">
        <f>'Hki-2012'!J6</f>
        <v>0.6543105401015138</v>
      </c>
      <c r="D27" s="15">
        <f>C27/C$26</f>
        <v>0.9555414388319884</v>
      </c>
    </row>
    <row r="28" spans="2:4" ht="12.75">
      <c r="B28" t="s">
        <v>110</v>
      </c>
      <c r="C28" s="65">
        <f>'Hki-2012'!K6</f>
        <v>0.5898080176556574</v>
      </c>
      <c r="D28" s="15">
        <f>C28/C$26</f>
        <v>0.8613433030406196</v>
      </c>
    </row>
    <row r="29" spans="2:4" ht="12.75">
      <c r="B29" s="6"/>
      <c r="C29" s="21"/>
      <c r="D29" s="16"/>
    </row>
    <row r="30" ht="12.75">
      <c r="B30" s="55" t="str">
        <f>Ilmanvaihto!A40</f>
        <v>© Ympäristöministeriö, LTO-laskin 2012 (versio marraskuu 2011)</v>
      </c>
    </row>
    <row r="31" ht="12.75"/>
  </sheetData>
  <sheetProtection password="94B5" sheet="1" objects="1" scenarios="1" selectLockedCells="1"/>
  <mergeCells count="6">
    <mergeCell ref="B5:F5"/>
    <mergeCell ref="B6:F6"/>
    <mergeCell ref="B1:F1"/>
    <mergeCell ref="B2:F2"/>
    <mergeCell ref="B3:F3"/>
    <mergeCell ref="B4:F4"/>
  </mergeCells>
  <conditionalFormatting sqref="C16">
    <cfRule type="cellIs" priority="1" dxfId="0" operator="lessThan" stopIfTrue="1">
      <formula>0</formula>
    </cfRule>
    <cfRule type="cellIs" priority="2" dxfId="0" operator="greaterThan" stopIfTrue="1">
      <formula>1</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83" r:id="rId3"/>
  <headerFooter alignWithMargins="0">
    <oddHeader>&amp;CRakennuksen ilmanvaihdon lämmöntalteenoton vuosihyötysuhteen laskenta,
D3-2012 (voimassa 1.7.2012 alkaen)</oddHeader>
    <oddFooter>&amp;C&amp;P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A93"/>
  <sheetViews>
    <sheetView zoomScalePageLayoutView="0" workbookViewId="0" topLeftCell="A4">
      <selection activeCell="A18" sqref="A18:R69"/>
    </sheetView>
  </sheetViews>
  <sheetFormatPr defaultColWidth="8.8515625" defaultRowHeight="12.75"/>
  <cols>
    <col min="1" max="2" width="8.8515625" style="73" customWidth="1"/>
    <col min="3" max="4" width="10.00390625" style="73" customWidth="1"/>
    <col min="5" max="14" width="8.8515625" style="73" customWidth="1"/>
    <col min="15" max="15" width="9.57421875" style="73" bestFit="1" customWidth="1"/>
    <col min="16" max="16384" width="8.8515625" style="73" customWidth="1"/>
  </cols>
  <sheetData>
    <row r="1" spans="1:25" ht="12.75">
      <c r="A1" s="71"/>
      <c r="B1" s="72"/>
      <c r="D1" s="72"/>
      <c r="G1" s="73" t="s">
        <v>37</v>
      </c>
      <c r="H1" s="74" t="s">
        <v>98</v>
      </c>
      <c r="I1" s="72" t="s">
        <v>38</v>
      </c>
      <c r="J1" s="72" t="s">
        <v>96</v>
      </c>
      <c r="K1" s="72" t="s">
        <v>97</v>
      </c>
      <c r="M1" s="72"/>
      <c r="O1" s="72"/>
      <c r="P1" s="72"/>
      <c r="Q1" s="72"/>
      <c r="U1" s="72"/>
      <c r="Y1" s="72"/>
    </row>
    <row r="2" spans="1:27" ht="12.75">
      <c r="A2" s="71"/>
      <c r="H2" s="75" t="s">
        <v>41</v>
      </c>
      <c r="I2" s="75" t="s">
        <v>41</v>
      </c>
      <c r="J2" s="75" t="s">
        <v>41</v>
      </c>
      <c r="K2" s="75" t="s">
        <v>41</v>
      </c>
      <c r="M2" s="76"/>
      <c r="O2" s="77"/>
      <c r="P2" s="77"/>
      <c r="Q2" s="76"/>
      <c r="S2" s="77"/>
      <c r="T2" s="77"/>
      <c r="U2" s="76"/>
      <c r="Y2" s="76"/>
      <c r="AA2" s="77"/>
    </row>
    <row r="3" spans="1:27" ht="12.75">
      <c r="A3" s="71"/>
      <c r="G3" s="75" t="s">
        <v>43</v>
      </c>
      <c r="H3" s="78">
        <f>M18</f>
        <v>6417.620999999999</v>
      </c>
      <c r="I3" s="78"/>
      <c r="J3" s="78">
        <f>'Jky-2012'!J3</f>
        <v>7503.568799999999</v>
      </c>
      <c r="K3" s="78">
        <f>'Sod-2012'!K3</f>
        <v>9110.831399999995</v>
      </c>
      <c r="M3" s="76"/>
      <c r="O3" s="79"/>
      <c r="P3" s="79"/>
      <c r="Q3" s="76"/>
      <c r="S3" s="72"/>
      <c r="T3" s="77"/>
      <c r="U3" s="76"/>
      <c r="Y3" s="76"/>
      <c r="AA3" s="72"/>
    </row>
    <row r="4" spans="1:27" ht="12.75">
      <c r="A4" s="71"/>
      <c r="G4" s="75" t="s">
        <v>45</v>
      </c>
      <c r="H4" s="78">
        <f>H3-H5</f>
        <v>2023.1312457831318</v>
      </c>
      <c r="I4" s="78"/>
      <c r="J4" s="78">
        <f>'Jky-2012'!J4</f>
        <v>2593.904645783132</v>
      </c>
      <c r="K4" s="78">
        <f>'Sod-2012'!K4</f>
        <v>3737.18999277108</v>
      </c>
      <c r="M4" s="76"/>
      <c r="N4" s="76"/>
      <c r="O4" s="76"/>
      <c r="P4" s="76"/>
      <c r="Q4" s="76"/>
      <c r="R4" s="76"/>
      <c r="S4" s="76"/>
      <c r="T4" s="76"/>
      <c r="U4" s="76"/>
      <c r="Y4" s="76"/>
      <c r="Z4" s="76"/>
      <c r="AA4" s="76"/>
    </row>
    <row r="5" spans="7:27" ht="12.75">
      <c r="G5" s="75" t="s">
        <v>49</v>
      </c>
      <c r="H5" s="78">
        <f>O18</f>
        <v>4394.489754216867</v>
      </c>
      <c r="I5" s="78"/>
      <c r="J5" s="78">
        <f>'Jky-2012'!J5</f>
        <v>4909.664154216867</v>
      </c>
      <c r="K5" s="78">
        <f>'Sod-2012'!K5</f>
        <v>5373.641407228915</v>
      </c>
      <c r="M5" s="80"/>
      <c r="N5" s="81"/>
      <c r="O5" s="77"/>
      <c r="P5" s="77"/>
      <c r="Q5" s="80"/>
      <c r="R5" s="81"/>
      <c r="S5" s="77"/>
      <c r="T5" s="77"/>
      <c r="U5" s="80"/>
      <c r="Y5" s="80"/>
      <c r="Z5" s="81"/>
      <c r="AA5" s="77"/>
    </row>
    <row r="6" spans="7:11" ht="12.75">
      <c r="G6" s="75" t="s">
        <v>47</v>
      </c>
      <c r="H6" s="81">
        <f>N14</f>
        <v>0.6847537045607505</v>
      </c>
      <c r="I6" s="81"/>
      <c r="J6" s="81">
        <f>'Jky-2012'!J6</f>
        <v>0.6543105401015138</v>
      </c>
      <c r="K6" s="81">
        <f>'Sod-2012'!K6</f>
        <v>0.5898080176556574</v>
      </c>
    </row>
    <row r="7" spans="7:11" ht="12.75">
      <c r="G7" s="75" t="s">
        <v>50</v>
      </c>
      <c r="H7" s="78">
        <f>Q18</f>
        <v>477.34644000000003</v>
      </c>
      <c r="I7" s="78"/>
      <c r="J7" s="78">
        <f>'Jky-2012'!J7</f>
        <v>764.6552400000003</v>
      </c>
      <c r="K7" s="78">
        <f>'Sod-2012'!K7</f>
        <v>1651.6386000000002</v>
      </c>
    </row>
    <row r="8" spans="7:11" ht="12.75">
      <c r="G8" s="75" t="s">
        <v>48</v>
      </c>
      <c r="H8" s="77">
        <f>Q22</f>
        <v>385.45416666666677</v>
      </c>
      <c r="I8" s="78"/>
      <c r="J8" s="78">
        <f>'Jky-2012'!J8</f>
        <v>617.454166666667</v>
      </c>
      <c r="K8" s="78">
        <f>'Sod-2012'!K8</f>
        <v>1333.6875000000005</v>
      </c>
    </row>
    <row r="9" spans="7:11" ht="12.75">
      <c r="G9" s="75" t="s">
        <v>42</v>
      </c>
      <c r="H9" s="77">
        <f>M22</f>
        <v>5182.1875</v>
      </c>
      <c r="I9" s="78"/>
      <c r="J9" s="78">
        <f>'Jky-2012'!J9</f>
        <v>6059.083333333333</v>
      </c>
      <c r="K9" s="78">
        <f>'Sod-2012'!K9</f>
        <v>7356.937499999998</v>
      </c>
    </row>
    <row r="10" spans="7:11" ht="12.75">
      <c r="G10" s="75" t="s">
        <v>51</v>
      </c>
      <c r="H10" s="77">
        <f>N22</f>
        <v>3814.66124497992</v>
      </c>
      <c r="I10" s="78"/>
      <c r="J10" s="78">
        <f>'Jky-2012'!J10</f>
        <v>4261.861244979919</v>
      </c>
      <c r="K10" s="78">
        <f>'Sod-2012'!K10</f>
        <v>4664.6192771084325</v>
      </c>
    </row>
    <row r="11" spans="7:11" ht="12.75">
      <c r="G11" s="75" t="s">
        <v>52</v>
      </c>
      <c r="H11" s="77">
        <f>O22</f>
        <v>3548.522088353414</v>
      </c>
      <c r="I11" s="78"/>
      <c r="J11" s="78">
        <f>'Jky-2012'!J11</f>
        <v>3964.5220883534143</v>
      </c>
      <c r="K11" s="78">
        <f>'Sod-2012'!K11</f>
        <v>4339.180722891567</v>
      </c>
    </row>
    <row r="12" spans="3:18" ht="12.75">
      <c r="C12" s="82"/>
      <c r="D12" s="82"/>
      <c r="E12" s="82"/>
      <c r="F12" s="82"/>
      <c r="G12" s="83" t="s">
        <v>53</v>
      </c>
      <c r="H12" s="82">
        <f>P14</f>
        <v>43</v>
      </c>
      <c r="I12" s="82"/>
      <c r="J12" s="82">
        <f>'Jky-2012'!J12</f>
        <v>43</v>
      </c>
      <c r="K12" s="82">
        <f>'Sod-2012'!K12</f>
        <v>43</v>
      </c>
      <c r="L12" s="82"/>
      <c r="M12" s="82"/>
      <c r="N12" s="82"/>
      <c r="O12" s="82"/>
      <c r="P12" s="82"/>
      <c r="Q12" s="82"/>
      <c r="R12" s="82"/>
    </row>
    <row r="13" spans="3:19" ht="12.75">
      <c r="C13" s="82"/>
      <c r="D13" s="82"/>
      <c r="E13" s="82"/>
      <c r="F13" s="82"/>
      <c r="G13" s="83" t="s">
        <v>54</v>
      </c>
      <c r="H13" s="82">
        <f>E24</f>
        <v>21</v>
      </c>
      <c r="I13" s="82"/>
      <c r="J13" s="82">
        <f>'Jky-2012'!J13</f>
        <v>21</v>
      </c>
      <c r="K13" s="82">
        <f>'Sod-2012'!K13</f>
        <v>21</v>
      </c>
      <c r="L13" s="82"/>
      <c r="M13" s="82"/>
      <c r="N13" s="82"/>
      <c r="O13" s="82"/>
      <c r="P13" s="82"/>
      <c r="Q13" s="82"/>
      <c r="R13" s="82"/>
      <c r="S13" s="71"/>
    </row>
    <row r="14" spans="3:19" ht="19.5">
      <c r="C14" s="82"/>
      <c r="D14" s="82"/>
      <c r="E14" s="82"/>
      <c r="F14" s="82"/>
      <c r="G14" s="83" t="s">
        <v>44</v>
      </c>
      <c r="H14" s="82">
        <f>P23</f>
        <v>15</v>
      </c>
      <c r="I14" s="82"/>
      <c r="J14" s="82">
        <f>'Jky-2012'!J14</f>
        <v>15</v>
      </c>
      <c r="K14" s="82">
        <f>'Sod-2012'!K14</f>
        <v>15</v>
      </c>
      <c r="L14" s="82"/>
      <c r="M14" s="84" t="s">
        <v>127</v>
      </c>
      <c r="N14" s="85">
        <f>N22/M22*I24</f>
        <v>0.6847537045607505</v>
      </c>
      <c r="O14" s="82"/>
      <c r="P14" s="86">
        <f>'LTO-laskin'!E14*1000+1E-50</f>
        <v>43</v>
      </c>
      <c r="Q14" s="86" t="s">
        <v>55</v>
      </c>
      <c r="R14" s="82"/>
      <c r="S14" s="71"/>
    </row>
    <row r="15" spans="3:19" ht="12.75">
      <c r="C15" s="82"/>
      <c r="D15" s="82"/>
      <c r="E15" s="82"/>
      <c r="F15" s="82"/>
      <c r="G15" s="83" t="s">
        <v>56</v>
      </c>
      <c r="H15" s="82">
        <f>D24</f>
        <v>5</v>
      </c>
      <c r="I15" s="82"/>
      <c r="J15" s="82">
        <f>'Jky-2012'!J15</f>
        <v>5</v>
      </c>
      <c r="K15" s="82">
        <f>'Sod-2012'!K15</f>
        <v>5</v>
      </c>
      <c r="L15" s="82"/>
      <c r="M15" s="82"/>
      <c r="N15" s="82"/>
      <c r="O15" s="82"/>
      <c r="P15" s="82"/>
      <c r="Q15" s="82"/>
      <c r="R15" s="82"/>
      <c r="S15" s="71"/>
    </row>
    <row r="16" spans="3:19" ht="12.75">
      <c r="C16" s="82"/>
      <c r="D16" s="82"/>
      <c r="E16" s="82"/>
      <c r="F16" s="82"/>
      <c r="G16" s="83" t="s">
        <v>46</v>
      </c>
      <c r="H16" s="87">
        <f>K24</f>
        <v>0.7710843373493977</v>
      </c>
      <c r="I16" s="87"/>
      <c r="J16" s="87">
        <f>'Jky-2012'!J16</f>
        <v>0.7710843373493977</v>
      </c>
      <c r="K16" s="87">
        <f>'Sod-2012'!K16</f>
        <v>0.7710843373493977</v>
      </c>
      <c r="L16" s="82"/>
      <c r="M16" s="82" t="s">
        <v>57</v>
      </c>
      <c r="N16" s="82"/>
      <c r="O16" s="82" t="s">
        <v>58</v>
      </c>
      <c r="P16" s="82"/>
      <c r="Q16" s="82"/>
      <c r="R16" s="82"/>
      <c r="S16" s="71"/>
    </row>
    <row r="17" spans="3:19" ht="12.75">
      <c r="C17" s="82"/>
      <c r="D17" s="82"/>
      <c r="E17" s="82"/>
      <c r="F17" s="82"/>
      <c r="G17" s="83" t="s">
        <v>59</v>
      </c>
      <c r="H17" s="87">
        <f>I24</f>
        <v>0.930232558139535</v>
      </c>
      <c r="I17" s="87"/>
      <c r="J17" s="87">
        <f>'Jky-2012'!J17</f>
        <v>0.930232558139535</v>
      </c>
      <c r="K17" s="87">
        <f>'Sod-2012'!K17</f>
        <v>0.930232558139535</v>
      </c>
      <c r="L17" s="82"/>
      <c r="M17" s="82" t="s">
        <v>60</v>
      </c>
      <c r="N17" s="82"/>
      <c r="O17" s="82" t="s">
        <v>61</v>
      </c>
      <c r="P17" s="82"/>
      <c r="Q17" s="82" t="s">
        <v>62</v>
      </c>
      <c r="R17" s="82"/>
      <c r="S17" s="71"/>
    </row>
    <row r="18" spans="3:19" ht="12.75">
      <c r="C18" s="82"/>
      <c r="D18" s="82"/>
      <c r="E18" s="82"/>
      <c r="F18" s="82"/>
      <c r="G18" s="83" t="s">
        <v>63</v>
      </c>
      <c r="H18" s="82">
        <v>12</v>
      </c>
      <c r="I18" s="82"/>
      <c r="J18" s="82">
        <f>'Jky-2012'!J18</f>
        <v>12</v>
      </c>
      <c r="K18" s="82">
        <f>'Sod-2012'!K18</f>
        <v>12</v>
      </c>
      <c r="L18" s="82"/>
      <c r="M18" s="88">
        <f>P14/1000*1.2*M22*24</f>
        <v>6417.620999999999</v>
      </c>
      <c r="N18" s="88"/>
      <c r="O18" s="88">
        <f>P14/1000*1.2*O22*24</f>
        <v>4394.489754216867</v>
      </c>
      <c r="P18" s="82"/>
      <c r="Q18" s="88">
        <f>P14/1000*1.2*Q22*24</f>
        <v>477.34644000000003</v>
      </c>
      <c r="R18" s="82"/>
      <c r="S18" s="71"/>
    </row>
    <row r="19" spans="4:20" ht="12.75">
      <c r="D19" s="82"/>
      <c r="E19" s="82"/>
      <c r="F19" s="82"/>
      <c r="G19" s="82"/>
      <c r="H19" s="82"/>
      <c r="I19" s="82"/>
      <c r="J19" s="82"/>
      <c r="K19" s="82"/>
      <c r="L19" s="82"/>
      <c r="M19" s="82"/>
      <c r="N19" s="82" t="s">
        <v>24</v>
      </c>
      <c r="O19" s="82"/>
      <c r="P19" s="82"/>
      <c r="Q19" s="82"/>
      <c r="R19" s="89"/>
      <c r="S19" s="89"/>
      <c r="T19" s="71"/>
    </row>
    <row r="20" spans="3:20" ht="12.75">
      <c r="C20" s="90">
        <v>40654</v>
      </c>
      <c r="D20" s="82"/>
      <c r="E20" s="82"/>
      <c r="F20" s="82"/>
      <c r="G20" s="82"/>
      <c r="H20" s="91"/>
      <c r="I20" s="82"/>
      <c r="J20" s="82"/>
      <c r="K20" s="82"/>
      <c r="L20" s="82"/>
      <c r="M20" s="82"/>
      <c r="N20" s="92" t="s">
        <v>25</v>
      </c>
      <c r="O20" s="92" t="s">
        <v>25</v>
      </c>
      <c r="P20" s="92" t="s">
        <v>26</v>
      </c>
      <c r="Q20" s="82" t="s">
        <v>64</v>
      </c>
      <c r="R20" s="82"/>
      <c r="S20" s="82"/>
      <c r="T20" s="71"/>
    </row>
    <row r="21" spans="1:20" ht="12.75">
      <c r="A21" s="93" t="s">
        <v>98</v>
      </c>
      <c r="D21" s="82"/>
      <c r="E21" s="82"/>
      <c r="F21" s="82"/>
      <c r="G21" s="82"/>
      <c r="H21" s="91"/>
      <c r="I21" s="82"/>
      <c r="J21" s="82"/>
      <c r="K21" s="82"/>
      <c r="L21" s="82"/>
      <c r="M21" s="82"/>
      <c r="N21" s="83" t="s">
        <v>33</v>
      </c>
      <c r="O21" s="83" t="s">
        <v>34</v>
      </c>
      <c r="P21" s="83" t="s">
        <v>35</v>
      </c>
      <c r="Q21" s="82"/>
      <c r="R21" s="82"/>
      <c r="S21" s="86"/>
      <c r="T21" s="71"/>
    </row>
    <row r="22" spans="1:19" ht="19.5">
      <c r="A22" s="75" t="s">
        <v>27</v>
      </c>
      <c r="B22" s="75" t="s">
        <v>28</v>
      </c>
      <c r="C22" s="83" t="s">
        <v>65</v>
      </c>
      <c r="D22" s="83" t="s">
        <v>66</v>
      </c>
      <c r="E22" s="83" t="s">
        <v>29</v>
      </c>
      <c r="F22" s="83" t="s">
        <v>67</v>
      </c>
      <c r="G22" s="83" t="s">
        <v>30</v>
      </c>
      <c r="H22" s="83" t="s">
        <v>31</v>
      </c>
      <c r="I22" s="82" t="s">
        <v>32</v>
      </c>
      <c r="J22" s="84" t="s">
        <v>128</v>
      </c>
      <c r="K22" s="84" t="s">
        <v>129</v>
      </c>
      <c r="L22" s="84" t="s">
        <v>129</v>
      </c>
      <c r="M22" s="94">
        <f>SUM(M23:M90)</f>
        <v>5182.1875</v>
      </c>
      <c r="N22" s="94">
        <f>SUM(N23:N90)</f>
        <v>3814.66124497992</v>
      </c>
      <c r="O22" s="94">
        <f>SUM(O23:O90)</f>
        <v>3548.522088353414</v>
      </c>
      <c r="P22" s="82" t="s">
        <v>68</v>
      </c>
      <c r="Q22" s="94">
        <f>SUM(Q23:Q90)</f>
        <v>385.45416666666677</v>
      </c>
      <c r="R22" s="84" t="s">
        <v>128</v>
      </c>
      <c r="S22" s="95" t="s">
        <v>67</v>
      </c>
    </row>
    <row r="23" spans="3:19" ht="12.75">
      <c r="C23" s="82"/>
      <c r="D23" s="82"/>
      <c r="E23" s="82"/>
      <c r="F23" s="82"/>
      <c r="G23" s="82"/>
      <c r="H23" s="82"/>
      <c r="I23" s="82" t="s">
        <v>69</v>
      </c>
      <c r="J23" s="82"/>
      <c r="K23" s="82"/>
      <c r="L23" s="87"/>
      <c r="M23" s="82"/>
      <c r="N23" s="82"/>
      <c r="O23" s="82"/>
      <c r="P23" s="86">
        <v>15</v>
      </c>
      <c r="Q23" s="82"/>
      <c r="R23" s="82"/>
      <c r="S23" s="71"/>
    </row>
    <row r="24" spans="1:19" ht="12.75">
      <c r="A24" s="73">
        <v>-21.5</v>
      </c>
      <c r="B24" s="93">
        <v>0</v>
      </c>
      <c r="C24" s="82">
        <f>E24</f>
        <v>21</v>
      </c>
      <c r="D24" s="86">
        <f>'LTO-laskin'!C22</f>
        <v>5</v>
      </c>
      <c r="E24" s="86">
        <f>'LTO-laskin'!C21</f>
        <v>21</v>
      </c>
      <c r="F24" s="91">
        <f aca="true" t="shared" si="0" ref="F24:F57">E24-K24*(E24-A24)</f>
        <v>-11.771084337349407</v>
      </c>
      <c r="G24" s="91">
        <f>MAX(F24,D24,S24)</f>
        <v>5</v>
      </c>
      <c r="H24" s="91">
        <f aca="true" t="shared" si="1" ref="H24:H57">A24+J24*(E24-A24)</f>
        <v>-4.300000000000001</v>
      </c>
      <c r="I24" s="96">
        <f>'LTO-laskin'!C19</f>
        <v>0.930232558139535</v>
      </c>
      <c r="J24" s="87">
        <f>L24/I24</f>
        <v>0.40470588235294114</v>
      </c>
      <c r="K24" s="96">
        <f>'LTO-laskin'!C18</f>
        <v>0.7710843373493977</v>
      </c>
      <c r="L24" s="87">
        <f aca="true" t="shared" si="2" ref="L24:L57">(E24-G24)/(E24-A24)</f>
        <v>0.3764705882352941</v>
      </c>
      <c r="M24" s="94">
        <f aca="true" t="shared" si="3" ref="M24:M57">MAX((B24-B23)/100*365*(E24-A24),0)</f>
        <v>0</v>
      </c>
      <c r="N24" s="94">
        <f aca="true" t="shared" si="4" ref="N24:N57">MAX((B24-B23)/100*365*(H24-A24),0)</f>
        <v>0</v>
      </c>
      <c r="O24" s="94">
        <f>MAX((B24-B23)/100*365*(E24-G24),0)</f>
        <v>0</v>
      </c>
      <c r="P24" s="91">
        <f aca="true" t="shared" si="5" ref="P24:P57">MAX(0,P$23-H24)</f>
        <v>19.3</v>
      </c>
      <c r="Q24" s="91">
        <f>(B24-B23)/100*365*P24</f>
        <v>0</v>
      </c>
      <c r="R24" s="97">
        <f aca="true" t="shared" si="6" ref="R24:R57">MAX((C24-A24)/(E24-A24),0)</f>
        <v>1</v>
      </c>
      <c r="S24" s="71">
        <f aca="true" t="shared" si="7" ref="S24:S57">E24-R24*I24*(E24-A24)</f>
        <v>-18.53488372093024</v>
      </c>
    </row>
    <row r="25" spans="1:19" ht="12.75">
      <c r="A25" s="73">
        <v>-20.5</v>
      </c>
      <c r="B25" s="93">
        <v>0.07990867579908677</v>
      </c>
      <c r="C25" s="71">
        <f aca="true" t="shared" si="8" ref="C25:C57">C24</f>
        <v>21</v>
      </c>
      <c r="D25" s="71">
        <f aca="true" t="shared" si="9" ref="D25:D57">D24</f>
        <v>5</v>
      </c>
      <c r="E25" s="71">
        <f aca="true" t="shared" si="10" ref="E25:E57">E24</f>
        <v>21</v>
      </c>
      <c r="F25" s="98">
        <f t="shared" si="0"/>
        <v>-11.000000000000007</v>
      </c>
      <c r="G25" s="98">
        <f aca="true" t="shared" si="11" ref="G25:G57">MAX(F25,D25,S25)</f>
        <v>5</v>
      </c>
      <c r="H25" s="98">
        <f t="shared" si="1"/>
        <v>-3.3000000000000007</v>
      </c>
      <c r="I25" s="99">
        <f aca="true" t="shared" si="12" ref="I25:I57">I24</f>
        <v>0.930232558139535</v>
      </c>
      <c r="J25" s="99">
        <f aca="true" t="shared" si="13" ref="J25:J57">L25/I25</f>
        <v>0.4144578313253012</v>
      </c>
      <c r="K25" s="99">
        <f>K24</f>
        <v>0.7710843373493977</v>
      </c>
      <c r="L25" s="87">
        <f t="shared" si="2"/>
        <v>0.3855421686746988</v>
      </c>
      <c r="M25" s="94">
        <f t="shared" si="3"/>
        <v>12.104166666666668</v>
      </c>
      <c r="N25" s="94">
        <f t="shared" si="4"/>
        <v>5.016666666666667</v>
      </c>
      <c r="O25" s="94">
        <f aca="true" t="shared" si="14" ref="O25:O57">MAX((B25-B24)/100*365*(E25-G25),0)</f>
        <v>4.666666666666667</v>
      </c>
      <c r="P25" s="98">
        <f t="shared" si="5"/>
        <v>18.3</v>
      </c>
      <c r="Q25" s="98">
        <f>(B25-B24)/100*365*P25</f>
        <v>5.3375</v>
      </c>
      <c r="R25" s="100">
        <f t="shared" si="6"/>
        <v>1</v>
      </c>
      <c r="S25" s="71">
        <f t="shared" si="7"/>
        <v>-17.604651162790702</v>
      </c>
    </row>
    <row r="26" spans="1:19" ht="12.75">
      <c r="A26" s="73">
        <v>-19.5</v>
      </c>
      <c r="B26" s="93">
        <v>0.3310502283105023</v>
      </c>
      <c r="C26" s="71">
        <f t="shared" si="8"/>
        <v>21</v>
      </c>
      <c r="D26" s="71">
        <f t="shared" si="9"/>
        <v>5</v>
      </c>
      <c r="E26" s="71">
        <f t="shared" si="10"/>
        <v>21</v>
      </c>
      <c r="F26" s="98">
        <f t="shared" si="0"/>
        <v>-10.228915662650607</v>
      </c>
      <c r="G26" s="98">
        <f t="shared" si="11"/>
        <v>5</v>
      </c>
      <c r="H26" s="98">
        <f t="shared" si="1"/>
        <v>-2.3000000000000043</v>
      </c>
      <c r="I26" s="99">
        <f t="shared" si="12"/>
        <v>0.930232558139535</v>
      </c>
      <c r="J26" s="99">
        <f t="shared" si="13"/>
        <v>0.42469135802469127</v>
      </c>
      <c r="K26" s="99">
        <f aca="true" t="shared" si="15" ref="K26:K56">K25</f>
        <v>0.7710843373493977</v>
      </c>
      <c r="L26" s="87">
        <f t="shared" si="2"/>
        <v>0.3950617283950617</v>
      </c>
      <c r="M26" s="94">
        <f t="shared" si="3"/>
        <v>37.125</v>
      </c>
      <c r="N26" s="94">
        <f t="shared" si="4"/>
        <v>15.766666666666662</v>
      </c>
      <c r="O26" s="94">
        <f t="shared" si="14"/>
        <v>14.666666666666666</v>
      </c>
      <c r="P26" s="98">
        <f t="shared" si="5"/>
        <v>17.300000000000004</v>
      </c>
      <c r="Q26" s="98">
        <f aca="true" t="shared" si="16" ref="Q26:Q57">(B26-B25)/100*365*P26</f>
        <v>15.858333333333336</v>
      </c>
      <c r="R26" s="100">
        <f t="shared" si="6"/>
        <v>1</v>
      </c>
      <c r="S26" s="71">
        <f t="shared" si="7"/>
        <v>-16.674418604651166</v>
      </c>
    </row>
    <row r="27" spans="1:19" ht="12.75">
      <c r="A27" s="73">
        <v>-18.5</v>
      </c>
      <c r="B27" s="93">
        <v>0.5593607305936072</v>
      </c>
      <c r="C27" s="71">
        <f t="shared" si="8"/>
        <v>21</v>
      </c>
      <c r="D27" s="71">
        <f t="shared" si="9"/>
        <v>5</v>
      </c>
      <c r="E27" s="71">
        <f t="shared" si="10"/>
        <v>21</v>
      </c>
      <c r="F27" s="98">
        <f t="shared" si="0"/>
        <v>-9.45783132530121</v>
      </c>
      <c r="G27" s="98">
        <f t="shared" si="11"/>
        <v>5</v>
      </c>
      <c r="H27" s="98">
        <f t="shared" si="1"/>
        <v>-1.3000000000000043</v>
      </c>
      <c r="I27" s="99">
        <f t="shared" si="12"/>
        <v>0.930232558139535</v>
      </c>
      <c r="J27" s="99">
        <f t="shared" si="13"/>
        <v>0.4354430379746835</v>
      </c>
      <c r="K27" s="99">
        <f t="shared" si="15"/>
        <v>0.7710843373493977</v>
      </c>
      <c r="L27" s="87">
        <f t="shared" si="2"/>
        <v>0.4050632911392405</v>
      </c>
      <c r="M27" s="94">
        <f t="shared" si="3"/>
        <v>32.91666666666666</v>
      </c>
      <c r="N27" s="94">
        <f t="shared" si="4"/>
        <v>14.333333333333327</v>
      </c>
      <c r="O27" s="94">
        <f t="shared" si="14"/>
        <v>13.33333333333333</v>
      </c>
      <c r="P27" s="98">
        <f t="shared" si="5"/>
        <v>16.300000000000004</v>
      </c>
      <c r="Q27" s="98">
        <f t="shared" si="16"/>
        <v>13.583333333333334</v>
      </c>
      <c r="R27" s="100">
        <f t="shared" si="6"/>
        <v>1</v>
      </c>
      <c r="S27" s="71">
        <f t="shared" si="7"/>
        <v>-15.74418604651163</v>
      </c>
    </row>
    <row r="28" spans="1:19" ht="12.75">
      <c r="A28" s="73">
        <v>-17.5</v>
      </c>
      <c r="B28" s="93">
        <v>0.8333333333333334</v>
      </c>
      <c r="C28" s="73">
        <f t="shared" si="8"/>
        <v>21</v>
      </c>
      <c r="D28" s="73">
        <f t="shared" si="9"/>
        <v>5</v>
      </c>
      <c r="E28" s="73">
        <f t="shared" si="10"/>
        <v>21</v>
      </c>
      <c r="F28" s="101">
        <f t="shared" si="0"/>
        <v>-8.686746987951814</v>
      </c>
      <c r="G28" s="101">
        <f t="shared" si="11"/>
        <v>5</v>
      </c>
      <c r="H28" s="101">
        <f t="shared" si="1"/>
        <v>-0.3000000000000007</v>
      </c>
      <c r="I28" s="80">
        <f t="shared" si="12"/>
        <v>0.930232558139535</v>
      </c>
      <c r="J28" s="80">
        <f t="shared" si="13"/>
        <v>0.44675324675324674</v>
      </c>
      <c r="K28" s="80">
        <f t="shared" si="15"/>
        <v>0.7710843373493977</v>
      </c>
      <c r="L28" s="102">
        <f t="shared" si="2"/>
        <v>0.4155844155844156</v>
      </c>
      <c r="M28" s="103">
        <f t="shared" si="3"/>
        <v>38.50000000000001</v>
      </c>
      <c r="N28" s="103">
        <f t="shared" si="4"/>
        <v>17.200000000000003</v>
      </c>
      <c r="O28" s="103">
        <f t="shared" si="14"/>
        <v>16.000000000000004</v>
      </c>
      <c r="P28" s="101">
        <f t="shared" si="5"/>
        <v>15.3</v>
      </c>
      <c r="Q28" s="101">
        <f t="shared" si="16"/>
        <v>15.300000000000004</v>
      </c>
      <c r="R28" s="104">
        <f t="shared" si="6"/>
        <v>1</v>
      </c>
      <c r="S28" s="73">
        <f t="shared" si="7"/>
        <v>-14.8139534883721</v>
      </c>
    </row>
    <row r="29" spans="1:19" ht="12.75">
      <c r="A29" s="73">
        <v>-16.5</v>
      </c>
      <c r="B29" s="93">
        <v>1.1986301369863013</v>
      </c>
      <c r="C29" s="73">
        <f t="shared" si="8"/>
        <v>21</v>
      </c>
      <c r="D29" s="73">
        <f t="shared" si="9"/>
        <v>5</v>
      </c>
      <c r="E29" s="73">
        <f t="shared" si="10"/>
        <v>21</v>
      </c>
      <c r="F29" s="101">
        <f t="shared" si="0"/>
        <v>-7.915662650602414</v>
      </c>
      <c r="G29" s="101">
        <f t="shared" si="11"/>
        <v>5</v>
      </c>
      <c r="H29" s="101">
        <f t="shared" si="1"/>
        <v>0.6999999999999993</v>
      </c>
      <c r="I29" s="80">
        <f t="shared" si="12"/>
        <v>0.930232558139535</v>
      </c>
      <c r="J29" s="80">
        <f t="shared" si="13"/>
        <v>0.45866666666666667</v>
      </c>
      <c r="K29" s="80">
        <f t="shared" si="15"/>
        <v>0.7710843373493977</v>
      </c>
      <c r="L29" s="102">
        <f t="shared" si="2"/>
        <v>0.4266666666666667</v>
      </c>
      <c r="M29" s="103">
        <f t="shared" si="3"/>
        <v>49.99999999999998</v>
      </c>
      <c r="N29" s="103">
        <f t="shared" si="4"/>
        <v>22.933333333333323</v>
      </c>
      <c r="O29" s="103">
        <f t="shared" si="14"/>
        <v>21.333333333333325</v>
      </c>
      <c r="P29" s="101">
        <f t="shared" si="5"/>
        <v>14.3</v>
      </c>
      <c r="Q29" s="101">
        <f t="shared" si="16"/>
        <v>19.06666666666666</v>
      </c>
      <c r="R29" s="104">
        <f t="shared" si="6"/>
        <v>1</v>
      </c>
      <c r="S29" s="73">
        <f t="shared" si="7"/>
        <v>-13.883720930232563</v>
      </c>
    </row>
    <row r="30" spans="1:19" ht="12.75">
      <c r="A30" s="73">
        <v>-15.5</v>
      </c>
      <c r="B30" s="93">
        <v>1.872146118721461</v>
      </c>
      <c r="C30" s="73">
        <f t="shared" si="8"/>
        <v>21</v>
      </c>
      <c r="D30" s="73">
        <f t="shared" si="9"/>
        <v>5</v>
      </c>
      <c r="E30" s="73">
        <f t="shared" si="10"/>
        <v>21</v>
      </c>
      <c r="F30" s="101">
        <f t="shared" si="0"/>
        <v>-7.144578313253017</v>
      </c>
      <c r="G30" s="101">
        <f t="shared" si="11"/>
        <v>5</v>
      </c>
      <c r="H30" s="101">
        <f t="shared" si="1"/>
        <v>1.6999999999999993</v>
      </c>
      <c r="I30" s="80">
        <f t="shared" si="12"/>
        <v>0.930232558139535</v>
      </c>
      <c r="J30" s="80">
        <f t="shared" si="13"/>
        <v>0.4712328767123287</v>
      </c>
      <c r="K30" s="80">
        <f t="shared" si="15"/>
        <v>0.7710843373493977</v>
      </c>
      <c r="L30" s="102">
        <f t="shared" si="2"/>
        <v>0.4383561643835616</v>
      </c>
      <c r="M30" s="103">
        <f t="shared" si="3"/>
        <v>89.72916666666666</v>
      </c>
      <c r="N30" s="103">
        <f t="shared" si="4"/>
        <v>42.283333333333324</v>
      </c>
      <c r="O30" s="103">
        <f t="shared" si="14"/>
        <v>39.33333333333333</v>
      </c>
      <c r="P30" s="101">
        <f t="shared" si="5"/>
        <v>13.3</v>
      </c>
      <c r="Q30" s="101">
        <f t="shared" si="16"/>
        <v>32.69583333333333</v>
      </c>
      <c r="R30" s="104">
        <f t="shared" si="6"/>
        <v>1</v>
      </c>
      <c r="S30" s="73">
        <f t="shared" si="7"/>
        <v>-12.953488372093027</v>
      </c>
    </row>
    <row r="31" spans="1:19" ht="12.75">
      <c r="A31" s="73">
        <v>-14.5</v>
      </c>
      <c r="B31" s="93">
        <v>2.7625570776255706</v>
      </c>
      <c r="C31" s="73">
        <f t="shared" si="8"/>
        <v>21</v>
      </c>
      <c r="D31" s="73">
        <f t="shared" si="9"/>
        <v>5</v>
      </c>
      <c r="E31" s="73">
        <f t="shared" si="10"/>
        <v>21</v>
      </c>
      <c r="F31" s="101">
        <f t="shared" si="0"/>
        <v>-6.373493975903621</v>
      </c>
      <c r="G31" s="101">
        <f t="shared" si="11"/>
        <v>5</v>
      </c>
      <c r="H31" s="101">
        <f t="shared" si="1"/>
        <v>2.6999999999999993</v>
      </c>
      <c r="I31" s="80">
        <f t="shared" si="12"/>
        <v>0.930232558139535</v>
      </c>
      <c r="J31" s="80">
        <f t="shared" si="13"/>
        <v>0.4845070422535211</v>
      </c>
      <c r="K31" s="80">
        <f t="shared" si="15"/>
        <v>0.7710843373493977</v>
      </c>
      <c r="L31" s="102">
        <f t="shared" si="2"/>
        <v>0.4507042253521127</v>
      </c>
      <c r="M31" s="103">
        <f t="shared" si="3"/>
        <v>115.375</v>
      </c>
      <c r="N31" s="103">
        <f t="shared" si="4"/>
        <v>55.9</v>
      </c>
      <c r="O31" s="103">
        <f t="shared" si="14"/>
        <v>52</v>
      </c>
      <c r="P31" s="101">
        <f t="shared" si="5"/>
        <v>12.3</v>
      </c>
      <c r="Q31" s="101">
        <f t="shared" si="16"/>
        <v>39.975</v>
      </c>
      <c r="R31" s="104">
        <f t="shared" si="6"/>
        <v>1</v>
      </c>
      <c r="S31" s="73">
        <f t="shared" si="7"/>
        <v>-12.02325581395349</v>
      </c>
    </row>
    <row r="32" spans="1:19" ht="12.75">
      <c r="A32" s="73">
        <v>-13.5</v>
      </c>
      <c r="B32" s="93">
        <v>3.550228310502283</v>
      </c>
      <c r="C32" s="73">
        <f t="shared" si="8"/>
        <v>21</v>
      </c>
      <c r="D32" s="73">
        <f t="shared" si="9"/>
        <v>5</v>
      </c>
      <c r="E32" s="73">
        <f t="shared" si="10"/>
        <v>21</v>
      </c>
      <c r="F32" s="101">
        <f t="shared" si="0"/>
        <v>-5.602409638554221</v>
      </c>
      <c r="G32" s="101">
        <f t="shared" si="11"/>
        <v>5</v>
      </c>
      <c r="H32" s="101">
        <f t="shared" si="1"/>
        <v>3.6999999999999993</v>
      </c>
      <c r="I32" s="80">
        <f t="shared" si="12"/>
        <v>0.930232558139535</v>
      </c>
      <c r="J32" s="80">
        <f t="shared" si="13"/>
        <v>0.49855072463768113</v>
      </c>
      <c r="K32" s="80">
        <f t="shared" si="15"/>
        <v>0.7710843373493977</v>
      </c>
      <c r="L32" s="102">
        <f t="shared" si="2"/>
        <v>0.463768115942029</v>
      </c>
      <c r="M32" s="103">
        <f t="shared" si="3"/>
        <v>99.18750000000003</v>
      </c>
      <c r="N32" s="103">
        <f t="shared" si="4"/>
        <v>49.45000000000001</v>
      </c>
      <c r="O32" s="103">
        <f t="shared" si="14"/>
        <v>46.000000000000014</v>
      </c>
      <c r="P32" s="101">
        <f t="shared" si="5"/>
        <v>11.3</v>
      </c>
      <c r="Q32" s="101">
        <f t="shared" si="16"/>
        <v>32.48750000000001</v>
      </c>
      <c r="R32" s="104">
        <f t="shared" si="6"/>
        <v>1</v>
      </c>
      <c r="S32" s="73">
        <f t="shared" si="7"/>
        <v>-11.093023255813954</v>
      </c>
    </row>
    <row r="33" spans="1:19" ht="12.75">
      <c r="A33" s="73">
        <v>-12.5</v>
      </c>
      <c r="B33" s="93">
        <v>4.3493150684931505</v>
      </c>
      <c r="C33" s="73">
        <f t="shared" si="8"/>
        <v>21</v>
      </c>
      <c r="D33" s="73">
        <f t="shared" si="9"/>
        <v>5</v>
      </c>
      <c r="E33" s="73">
        <f t="shared" si="10"/>
        <v>21</v>
      </c>
      <c r="F33" s="101">
        <f t="shared" si="0"/>
        <v>-4.831325301204824</v>
      </c>
      <c r="G33" s="101">
        <f t="shared" si="11"/>
        <v>5</v>
      </c>
      <c r="H33" s="101">
        <f t="shared" si="1"/>
        <v>4.699999999999999</v>
      </c>
      <c r="I33" s="80">
        <f t="shared" si="12"/>
        <v>0.930232558139535</v>
      </c>
      <c r="J33" s="80">
        <f t="shared" si="13"/>
        <v>0.5134328358208955</v>
      </c>
      <c r="K33" s="80">
        <f t="shared" si="15"/>
        <v>0.7710843373493977</v>
      </c>
      <c r="L33" s="102">
        <f t="shared" si="2"/>
        <v>0.47761194029850745</v>
      </c>
      <c r="M33" s="103">
        <f t="shared" si="3"/>
        <v>97.70833333333331</v>
      </c>
      <c r="N33" s="103">
        <f t="shared" si="4"/>
        <v>50.16666666666666</v>
      </c>
      <c r="O33" s="103">
        <f t="shared" si="14"/>
        <v>46.66666666666666</v>
      </c>
      <c r="P33" s="101">
        <f t="shared" si="5"/>
        <v>10.3</v>
      </c>
      <c r="Q33" s="101">
        <f t="shared" si="16"/>
        <v>30.041666666666664</v>
      </c>
      <c r="R33" s="104">
        <f t="shared" si="6"/>
        <v>1</v>
      </c>
      <c r="S33" s="73">
        <f t="shared" si="7"/>
        <v>-10.16279069767442</v>
      </c>
    </row>
    <row r="34" spans="1:19" ht="12.75">
      <c r="A34" s="73">
        <v>-11.5</v>
      </c>
      <c r="B34" s="93">
        <v>4.931506849315069</v>
      </c>
      <c r="C34" s="73">
        <f t="shared" si="8"/>
        <v>21</v>
      </c>
      <c r="D34" s="73">
        <f t="shared" si="9"/>
        <v>5</v>
      </c>
      <c r="E34" s="73">
        <f t="shared" si="10"/>
        <v>21</v>
      </c>
      <c r="F34" s="101">
        <f t="shared" si="0"/>
        <v>-4.060240963855428</v>
      </c>
      <c r="G34" s="101">
        <f t="shared" si="11"/>
        <v>5</v>
      </c>
      <c r="H34" s="101">
        <f t="shared" si="1"/>
        <v>5.699999999999999</v>
      </c>
      <c r="I34" s="80">
        <f t="shared" si="12"/>
        <v>0.930232558139535</v>
      </c>
      <c r="J34" s="80">
        <f t="shared" si="13"/>
        <v>0.5292307692307692</v>
      </c>
      <c r="K34" s="80">
        <f t="shared" si="15"/>
        <v>0.7710843373493977</v>
      </c>
      <c r="L34" s="102">
        <f t="shared" si="2"/>
        <v>0.49230769230769234</v>
      </c>
      <c r="M34" s="103">
        <f t="shared" si="3"/>
        <v>69.06250000000003</v>
      </c>
      <c r="N34" s="103">
        <f t="shared" si="4"/>
        <v>36.55000000000001</v>
      </c>
      <c r="O34" s="103">
        <f t="shared" si="14"/>
        <v>34.000000000000014</v>
      </c>
      <c r="P34" s="101">
        <f t="shared" si="5"/>
        <v>9.3</v>
      </c>
      <c r="Q34" s="101">
        <f t="shared" si="16"/>
        <v>19.76250000000001</v>
      </c>
      <c r="R34" s="104">
        <f t="shared" si="6"/>
        <v>1</v>
      </c>
      <c r="S34" s="73">
        <f t="shared" si="7"/>
        <v>-9.232558139534888</v>
      </c>
    </row>
    <row r="35" spans="1:19" ht="12.75">
      <c r="A35" s="73">
        <v>-10.5</v>
      </c>
      <c r="B35" s="93">
        <v>5.445205479452055</v>
      </c>
      <c r="C35" s="73">
        <f t="shared" si="8"/>
        <v>21</v>
      </c>
      <c r="D35" s="73">
        <f t="shared" si="9"/>
        <v>5</v>
      </c>
      <c r="E35" s="73">
        <f t="shared" si="10"/>
        <v>21</v>
      </c>
      <c r="F35" s="101">
        <f t="shared" si="0"/>
        <v>-3.2891566265060277</v>
      </c>
      <c r="G35" s="101">
        <f t="shared" si="11"/>
        <v>5</v>
      </c>
      <c r="H35" s="101">
        <f t="shared" si="1"/>
        <v>6.699999999999999</v>
      </c>
      <c r="I35" s="80">
        <f t="shared" si="12"/>
        <v>0.930232558139535</v>
      </c>
      <c r="J35" s="80">
        <f t="shared" si="13"/>
        <v>0.546031746031746</v>
      </c>
      <c r="K35" s="80">
        <f t="shared" si="15"/>
        <v>0.7710843373493977</v>
      </c>
      <c r="L35" s="102">
        <f t="shared" si="2"/>
        <v>0.5079365079365079</v>
      </c>
      <c r="M35" s="103">
        <f t="shared" si="3"/>
        <v>59.06249999999996</v>
      </c>
      <c r="N35" s="103">
        <f t="shared" si="4"/>
        <v>32.24999999999998</v>
      </c>
      <c r="O35" s="103">
        <f t="shared" si="14"/>
        <v>29.99999999999998</v>
      </c>
      <c r="P35" s="101">
        <f t="shared" si="5"/>
        <v>8.3</v>
      </c>
      <c r="Q35" s="101">
        <f t="shared" si="16"/>
        <v>15.562499999999991</v>
      </c>
      <c r="R35" s="104">
        <f t="shared" si="6"/>
        <v>1</v>
      </c>
      <c r="S35" s="73">
        <f t="shared" si="7"/>
        <v>-8.302325581395351</v>
      </c>
    </row>
    <row r="36" spans="1:19" ht="12.75">
      <c r="A36" s="73">
        <v>-9.5</v>
      </c>
      <c r="B36" s="93">
        <v>6.050228310502283</v>
      </c>
      <c r="C36" s="73">
        <f t="shared" si="8"/>
        <v>21</v>
      </c>
      <c r="D36" s="73">
        <f t="shared" si="9"/>
        <v>5</v>
      </c>
      <c r="E36" s="73">
        <f t="shared" si="10"/>
        <v>21</v>
      </c>
      <c r="F36" s="101">
        <f t="shared" si="0"/>
        <v>-2.518072289156631</v>
      </c>
      <c r="G36" s="101">
        <f t="shared" si="11"/>
        <v>5</v>
      </c>
      <c r="H36" s="101">
        <f t="shared" si="1"/>
        <v>7.699999999999999</v>
      </c>
      <c r="I36" s="80">
        <f t="shared" si="12"/>
        <v>0.930232558139535</v>
      </c>
      <c r="J36" s="80">
        <f t="shared" si="13"/>
        <v>0.5639344262295082</v>
      </c>
      <c r="K36" s="80">
        <f t="shared" si="15"/>
        <v>0.7710843373493977</v>
      </c>
      <c r="L36" s="102">
        <f t="shared" si="2"/>
        <v>0.5245901639344263</v>
      </c>
      <c r="M36" s="103">
        <f t="shared" si="3"/>
        <v>67.3541666666667</v>
      </c>
      <c r="N36" s="103">
        <f t="shared" si="4"/>
        <v>37.98333333333335</v>
      </c>
      <c r="O36" s="103">
        <f t="shared" si="14"/>
        <v>35.33333333333335</v>
      </c>
      <c r="P36" s="101">
        <f t="shared" si="5"/>
        <v>7.300000000000001</v>
      </c>
      <c r="Q36" s="101">
        <f t="shared" si="16"/>
        <v>16.120833333333344</v>
      </c>
      <c r="R36" s="104">
        <f t="shared" si="6"/>
        <v>1</v>
      </c>
      <c r="S36" s="73">
        <f t="shared" si="7"/>
        <v>-7.372093023255818</v>
      </c>
    </row>
    <row r="37" spans="1:19" ht="12.75">
      <c r="A37" s="73">
        <v>-8.5</v>
      </c>
      <c r="B37" s="93">
        <v>7.031963470319634</v>
      </c>
      <c r="C37" s="73">
        <f t="shared" si="8"/>
        <v>21</v>
      </c>
      <c r="D37" s="73">
        <f t="shared" si="9"/>
        <v>5</v>
      </c>
      <c r="E37" s="73">
        <f t="shared" si="10"/>
        <v>21</v>
      </c>
      <c r="F37" s="101">
        <f t="shared" si="0"/>
        <v>-1.7469879518072347</v>
      </c>
      <c r="G37" s="101">
        <f t="shared" si="11"/>
        <v>5</v>
      </c>
      <c r="H37" s="101">
        <f t="shared" si="1"/>
        <v>8.699999999999996</v>
      </c>
      <c r="I37" s="80">
        <f t="shared" si="12"/>
        <v>0.930232558139535</v>
      </c>
      <c r="J37" s="80">
        <f t="shared" si="13"/>
        <v>0.583050847457627</v>
      </c>
      <c r="K37" s="80">
        <f t="shared" si="15"/>
        <v>0.7710843373493977</v>
      </c>
      <c r="L37" s="102">
        <f t="shared" si="2"/>
        <v>0.5423728813559322</v>
      </c>
      <c r="M37" s="103">
        <f t="shared" si="3"/>
        <v>105.70833333333326</v>
      </c>
      <c r="N37" s="103">
        <f t="shared" si="4"/>
        <v>61.633333333333276</v>
      </c>
      <c r="O37" s="103">
        <f t="shared" si="14"/>
        <v>57.33333333333329</v>
      </c>
      <c r="P37" s="101">
        <f t="shared" si="5"/>
        <v>6.300000000000004</v>
      </c>
      <c r="Q37" s="101">
        <f t="shared" si="16"/>
        <v>22.575</v>
      </c>
      <c r="R37" s="104">
        <f t="shared" si="6"/>
        <v>1</v>
      </c>
      <c r="S37" s="73">
        <f t="shared" si="7"/>
        <v>-6.441860465116282</v>
      </c>
    </row>
    <row r="38" spans="1:19" ht="12.75">
      <c r="A38" s="73">
        <v>-7.5</v>
      </c>
      <c r="B38" s="93">
        <v>8.45890410958904</v>
      </c>
      <c r="C38" s="73">
        <f t="shared" si="8"/>
        <v>21</v>
      </c>
      <c r="D38" s="73">
        <f t="shared" si="9"/>
        <v>5</v>
      </c>
      <c r="E38" s="73">
        <f t="shared" si="10"/>
        <v>21</v>
      </c>
      <c r="F38" s="101">
        <f t="shared" si="0"/>
        <v>-0.9759036144578346</v>
      </c>
      <c r="G38" s="101">
        <f t="shared" si="11"/>
        <v>5</v>
      </c>
      <c r="H38" s="101">
        <f t="shared" si="1"/>
        <v>9.699999999999996</v>
      </c>
      <c r="I38" s="80">
        <f t="shared" si="12"/>
        <v>0.930232558139535</v>
      </c>
      <c r="J38" s="80">
        <f t="shared" si="13"/>
        <v>0.6035087719298244</v>
      </c>
      <c r="K38" s="80">
        <f t="shared" si="15"/>
        <v>0.7710843373493977</v>
      </c>
      <c r="L38" s="102">
        <f t="shared" si="2"/>
        <v>0.5614035087719298</v>
      </c>
      <c r="M38" s="103">
        <f t="shared" si="3"/>
        <v>148.4375</v>
      </c>
      <c r="N38" s="103">
        <f t="shared" si="4"/>
        <v>89.5833333333333</v>
      </c>
      <c r="O38" s="103">
        <f t="shared" si="14"/>
        <v>83.33333333333333</v>
      </c>
      <c r="P38" s="101">
        <f t="shared" si="5"/>
        <v>5.300000000000004</v>
      </c>
      <c r="Q38" s="101">
        <f t="shared" si="16"/>
        <v>27.604166666666686</v>
      </c>
      <c r="R38" s="104">
        <f t="shared" si="6"/>
        <v>1</v>
      </c>
      <c r="S38" s="73">
        <f t="shared" si="7"/>
        <v>-5.511627906976749</v>
      </c>
    </row>
    <row r="39" spans="1:19" ht="12.75">
      <c r="A39" s="73">
        <v>-6.5</v>
      </c>
      <c r="B39" s="93">
        <v>10.114155251141552</v>
      </c>
      <c r="C39" s="73">
        <f t="shared" si="8"/>
        <v>21</v>
      </c>
      <c r="D39" s="73">
        <f t="shared" si="9"/>
        <v>5</v>
      </c>
      <c r="E39" s="73">
        <f t="shared" si="10"/>
        <v>21</v>
      </c>
      <c r="F39" s="101">
        <f t="shared" si="0"/>
        <v>-0.20481927710843806</v>
      </c>
      <c r="G39" s="101">
        <f t="shared" si="11"/>
        <v>5</v>
      </c>
      <c r="H39" s="101">
        <f t="shared" si="1"/>
        <v>10.7</v>
      </c>
      <c r="I39" s="80">
        <f t="shared" si="12"/>
        <v>0.930232558139535</v>
      </c>
      <c r="J39" s="80">
        <f t="shared" si="13"/>
        <v>0.6254545454545454</v>
      </c>
      <c r="K39" s="80">
        <f t="shared" si="15"/>
        <v>0.7710843373493977</v>
      </c>
      <c r="L39" s="102">
        <f t="shared" si="2"/>
        <v>0.5818181818181818</v>
      </c>
      <c r="M39" s="103">
        <f t="shared" si="3"/>
        <v>166.14583333333337</v>
      </c>
      <c r="N39" s="103">
        <f t="shared" si="4"/>
        <v>103.91666666666669</v>
      </c>
      <c r="O39" s="103">
        <f t="shared" si="14"/>
        <v>96.66666666666669</v>
      </c>
      <c r="P39" s="101">
        <f t="shared" si="5"/>
        <v>4.300000000000001</v>
      </c>
      <c r="Q39" s="101">
        <f t="shared" si="16"/>
        <v>25.979166666666675</v>
      </c>
      <c r="R39" s="104">
        <f t="shared" si="6"/>
        <v>1</v>
      </c>
      <c r="S39" s="73">
        <f t="shared" si="7"/>
        <v>-4.581395348837212</v>
      </c>
    </row>
    <row r="40" spans="1:19" ht="12.75">
      <c r="A40" s="73">
        <v>-5.5</v>
      </c>
      <c r="B40" s="93">
        <v>11.997716894977168</v>
      </c>
      <c r="C40" s="73">
        <f t="shared" si="8"/>
        <v>21</v>
      </c>
      <c r="D40" s="73">
        <f t="shared" si="9"/>
        <v>5</v>
      </c>
      <c r="E40" s="73">
        <f t="shared" si="10"/>
        <v>21</v>
      </c>
      <c r="F40" s="101">
        <f t="shared" si="0"/>
        <v>0.5662650602409585</v>
      </c>
      <c r="G40" s="101">
        <f t="shared" si="11"/>
        <v>5</v>
      </c>
      <c r="H40" s="101">
        <f t="shared" si="1"/>
        <v>11.699999999999996</v>
      </c>
      <c r="I40" s="80">
        <f t="shared" si="12"/>
        <v>0.930232558139535</v>
      </c>
      <c r="J40" s="80">
        <f t="shared" si="13"/>
        <v>0.6490566037735848</v>
      </c>
      <c r="K40" s="80">
        <f t="shared" si="15"/>
        <v>0.7710843373493977</v>
      </c>
      <c r="L40" s="102">
        <f t="shared" si="2"/>
        <v>0.6037735849056604</v>
      </c>
      <c r="M40" s="103">
        <f t="shared" si="3"/>
        <v>182.1875</v>
      </c>
      <c r="N40" s="103">
        <f t="shared" si="4"/>
        <v>118.24999999999997</v>
      </c>
      <c r="O40" s="103">
        <f t="shared" si="14"/>
        <v>110</v>
      </c>
      <c r="P40" s="101">
        <f t="shared" si="5"/>
        <v>3.3000000000000043</v>
      </c>
      <c r="Q40" s="101">
        <f t="shared" si="16"/>
        <v>22.68750000000003</v>
      </c>
      <c r="R40" s="104">
        <f t="shared" si="6"/>
        <v>1</v>
      </c>
      <c r="S40" s="73">
        <f t="shared" si="7"/>
        <v>-3.6511627906976756</v>
      </c>
    </row>
    <row r="41" spans="1:19" ht="12.75">
      <c r="A41" s="73">
        <v>-4.5</v>
      </c>
      <c r="B41" s="93">
        <v>14.121004566210047</v>
      </c>
      <c r="C41" s="73">
        <f t="shared" si="8"/>
        <v>21</v>
      </c>
      <c r="D41" s="73">
        <f t="shared" si="9"/>
        <v>5</v>
      </c>
      <c r="E41" s="73">
        <f t="shared" si="10"/>
        <v>21</v>
      </c>
      <c r="F41" s="101">
        <f t="shared" si="0"/>
        <v>1.3373493975903585</v>
      </c>
      <c r="G41" s="101">
        <f t="shared" si="11"/>
        <v>5</v>
      </c>
      <c r="H41" s="101">
        <f t="shared" si="1"/>
        <v>12.7</v>
      </c>
      <c r="I41" s="80">
        <f t="shared" si="12"/>
        <v>0.930232558139535</v>
      </c>
      <c r="J41" s="80">
        <f t="shared" si="13"/>
        <v>0.6745098039215686</v>
      </c>
      <c r="K41" s="80">
        <f t="shared" si="15"/>
        <v>0.7710843373493977</v>
      </c>
      <c r="L41" s="102">
        <f t="shared" si="2"/>
        <v>0.6274509803921569</v>
      </c>
      <c r="M41" s="103">
        <f t="shared" si="3"/>
        <v>197.62500000000017</v>
      </c>
      <c r="N41" s="103">
        <f t="shared" si="4"/>
        <v>133.3000000000001</v>
      </c>
      <c r="O41" s="103">
        <f t="shared" si="14"/>
        <v>124.0000000000001</v>
      </c>
      <c r="P41" s="101">
        <f t="shared" si="5"/>
        <v>2.3000000000000007</v>
      </c>
      <c r="Q41" s="101">
        <f t="shared" si="16"/>
        <v>17.82500000000002</v>
      </c>
      <c r="R41" s="104">
        <f t="shared" si="6"/>
        <v>1</v>
      </c>
      <c r="S41" s="73">
        <f t="shared" si="7"/>
        <v>-2.7209302325581426</v>
      </c>
    </row>
    <row r="42" spans="1:19" ht="12.75">
      <c r="A42" s="73">
        <v>-3.5</v>
      </c>
      <c r="B42" s="93">
        <v>16.28995433789954</v>
      </c>
      <c r="C42" s="73">
        <f t="shared" si="8"/>
        <v>21</v>
      </c>
      <c r="D42" s="73">
        <f t="shared" si="9"/>
        <v>5</v>
      </c>
      <c r="E42" s="73">
        <f t="shared" si="10"/>
        <v>21</v>
      </c>
      <c r="F42" s="101">
        <f t="shared" si="0"/>
        <v>2.108433734939755</v>
      </c>
      <c r="G42" s="101">
        <f t="shared" si="11"/>
        <v>5</v>
      </c>
      <c r="H42" s="101">
        <f t="shared" si="1"/>
        <v>13.699999999999996</v>
      </c>
      <c r="I42" s="80">
        <f t="shared" si="12"/>
        <v>0.930232558139535</v>
      </c>
      <c r="J42" s="80">
        <f t="shared" si="13"/>
        <v>0.7020408163265305</v>
      </c>
      <c r="K42" s="80">
        <f t="shared" si="15"/>
        <v>0.7710843373493977</v>
      </c>
      <c r="L42" s="102">
        <f t="shared" si="2"/>
        <v>0.6530612244897959</v>
      </c>
      <c r="M42" s="103">
        <f t="shared" si="3"/>
        <v>193.958333333333</v>
      </c>
      <c r="N42" s="103">
        <f t="shared" si="4"/>
        <v>136.1666666666664</v>
      </c>
      <c r="O42" s="103">
        <f t="shared" si="14"/>
        <v>126.66666666666646</v>
      </c>
      <c r="P42" s="101">
        <f t="shared" si="5"/>
        <v>1.3000000000000043</v>
      </c>
      <c r="Q42" s="101">
        <f t="shared" si="16"/>
        <v>10.291666666666684</v>
      </c>
      <c r="R42" s="104">
        <f t="shared" si="6"/>
        <v>1</v>
      </c>
      <c r="S42" s="73">
        <f t="shared" si="7"/>
        <v>-1.790697674418606</v>
      </c>
    </row>
    <row r="43" spans="1:19" ht="12.75">
      <c r="A43" s="73">
        <v>-2.5</v>
      </c>
      <c r="B43" s="93">
        <v>18.755707762557076</v>
      </c>
      <c r="C43" s="73">
        <f t="shared" si="8"/>
        <v>21</v>
      </c>
      <c r="D43" s="73">
        <f t="shared" si="9"/>
        <v>5</v>
      </c>
      <c r="E43" s="73">
        <f t="shared" si="10"/>
        <v>21</v>
      </c>
      <c r="F43" s="101">
        <f t="shared" si="0"/>
        <v>2.8795180722891516</v>
      </c>
      <c r="G43" s="101">
        <f t="shared" si="11"/>
        <v>5</v>
      </c>
      <c r="H43" s="101">
        <f t="shared" si="1"/>
        <v>14.7</v>
      </c>
      <c r="I43" s="80">
        <f t="shared" si="12"/>
        <v>0.930232558139535</v>
      </c>
      <c r="J43" s="80">
        <f t="shared" si="13"/>
        <v>0.7319148936170212</v>
      </c>
      <c r="K43" s="80">
        <f t="shared" si="15"/>
        <v>0.7710843373493977</v>
      </c>
      <c r="L43" s="102">
        <f t="shared" si="2"/>
        <v>0.6808510638297872</v>
      </c>
      <c r="M43" s="103">
        <f t="shared" si="3"/>
        <v>211.50000000000009</v>
      </c>
      <c r="N43" s="103">
        <f t="shared" si="4"/>
        <v>154.80000000000007</v>
      </c>
      <c r="O43" s="103">
        <f t="shared" si="14"/>
        <v>144.00000000000006</v>
      </c>
      <c r="P43" s="101">
        <f t="shared" si="5"/>
        <v>0.3000000000000007</v>
      </c>
      <c r="Q43" s="101">
        <f t="shared" si="16"/>
        <v>2.7000000000000073</v>
      </c>
      <c r="R43" s="104">
        <f t="shared" si="6"/>
        <v>1</v>
      </c>
      <c r="S43" s="73">
        <f t="shared" si="7"/>
        <v>-0.8604651162790731</v>
      </c>
    </row>
    <row r="44" spans="1:19" ht="12.75">
      <c r="A44" s="73">
        <v>-1.5</v>
      </c>
      <c r="B44" s="93">
        <v>21.44977168949772</v>
      </c>
      <c r="C44" s="73">
        <f t="shared" si="8"/>
        <v>21</v>
      </c>
      <c r="D44" s="73">
        <f t="shared" si="9"/>
        <v>5</v>
      </c>
      <c r="E44" s="73">
        <f t="shared" si="10"/>
        <v>21</v>
      </c>
      <c r="F44" s="101">
        <f t="shared" si="0"/>
        <v>3.6506024096385516</v>
      </c>
      <c r="G44" s="101">
        <f t="shared" si="11"/>
        <v>5</v>
      </c>
      <c r="H44" s="101">
        <f t="shared" si="1"/>
        <v>15.7</v>
      </c>
      <c r="I44" s="80">
        <f t="shared" si="12"/>
        <v>0.930232558139535</v>
      </c>
      <c r="J44" s="80">
        <f>L44/I44</f>
        <v>0.7644444444444444</v>
      </c>
      <c r="K44" s="80">
        <f t="shared" si="15"/>
        <v>0.7710843373493977</v>
      </c>
      <c r="L44" s="102">
        <f t="shared" si="2"/>
        <v>0.7111111111111111</v>
      </c>
      <c r="M44" s="103">
        <f t="shared" si="3"/>
        <v>221.25000000000034</v>
      </c>
      <c r="N44" s="103">
        <f t="shared" si="4"/>
        <v>169.13333333333358</v>
      </c>
      <c r="O44" s="103">
        <f t="shared" si="14"/>
        <v>157.33333333333357</v>
      </c>
      <c r="P44" s="101">
        <f t="shared" si="5"/>
        <v>0</v>
      </c>
      <c r="Q44" s="101">
        <f t="shared" si="16"/>
        <v>0</v>
      </c>
      <c r="R44" s="104">
        <f t="shared" si="6"/>
        <v>1</v>
      </c>
      <c r="S44" s="73">
        <f t="shared" si="7"/>
        <v>0.06976744186046346</v>
      </c>
    </row>
    <row r="45" spans="1:19" ht="12.75">
      <c r="A45" s="73">
        <v>-0.5</v>
      </c>
      <c r="B45" s="93">
        <v>25.03424657534247</v>
      </c>
      <c r="C45" s="73">
        <f t="shared" si="8"/>
        <v>21</v>
      </c>
      <c r="D45" s="73">
        <f t="shared" si="9"/>
        <v>5</v>
      </c>
      <c r="E45" s="73">
        <f t="shared" si="10"/>
        <v>21</v>
      </c>
      <c r="F45" s="101">
        <f t="shared" si="0"/>
        <v>4.421686746987948</v>
      </c>
      <c r="G45" s="101">
        <f t="shared" si="11"/>
        <v>5</v>
      </c>
      <c r="H45" s="101">
        <f t="shared" si="1"/>
        <v>16.7</v>
      </c>
      <c r="I45" s="80">
        <f t="shared" si="12"/>
        <v>0.930232558139535</v>
      </c>
      <c r="J45" s="80">
        <f t="shared" si="13"/>
        <v>0.7999999999999999</v>
      </c>
      <c r="K45" s="80">
        <f t="shared" si="15"/>
        <v>0.7710843373493977</v>
      </c>
      <c r="L45" s="102">
        <f t="shared" si="2"/>
        <v>0.7441860465116279</v>
      </c>
      <c r="M45" s="103">
        <f t="shared" si="3"/>
        <v>281.2916666666667</v>
      </c>
      <c r="N45" s="103">
        <f t="shared" si="4"/>
        <v>225.03333333333333</v>
      </c>
      <c r="O45" s="103">
        <f t="shared" si="14"/>
        <v>209.33333333333334</v>
      </c>
      <c r="P45" s="101">
        <f t="shared" si="5"/>
        <v>0</v>
      </c>
      <c r="Q45" s="101">
        <f t="shared" si="16"/>
        <v>0</v>
      </c>
      <c r="R45" s="104">
        <f t="shared" si="6"/>
        <v>1</v>
      </c>
      <c r="S45" s="73">
        <f t="shared" si="7"/>
        <v>0.9999999999999964</v>
      </c>
    </row>
    <row r="46" spans="1:19" ht="12.75">
      <c r="A46" s="73">
        <v>0.5</v>
      </c>
      <c r="B46" s="93">
        <v>31.244292237442924</v>
      </c>
      <c r="C46" s="73">
        <f t="shared" si="8"/>
        <v>21</v>
      </c>
      <c r="D46" s="73">
        <f t="shared" si="9"/>
        <v>5</v>
      </c>
      <c r="E46" s="73">
        <f t="shared" si="10"/>
        <v>21</v>
      </c>
      <c r="F46" s="101">
        <f t="shared" si="0"/>
        <v>5.1927710843373465</v>
      </c>
      <c r="G46" s="101">
        <f t="shared" si="11"/>
        <v>5.1927710843373465</v>
      </c>
      <c r="H46" s="101">
        <f t="shared" si="1"/>
        <v>17.49277108433735</v>
      </c>
      <c r="I46" s="80">
        <f t="shared" si="12"/>
        <v>0.930232558139535</v>
      </c>
      <c r="J46" s="80">
        <f t="shared" si="13"/>
        <v>0.8289156626506025</v>
      </c>
      <c r="K46" s="80">
        <f t="shared" si="15"/>
        <v>0.7710843373493977</v>
      </c>
      <c r="L46" s="102">
        <f t="shared" si="2"/>
        <v>0.7710843373493977</v>
      </c>
      <c r="M46" s="103">
        <f t="shared" si="3"/>
        <v>464.6666666666666</v>
      </c>
      <c r="N46" s="103">
        <f t="shared" si="4"/>
        <v>385.1694779116465</v>
      </c>
      <c r="O46" s="103">
        <f t="shared" si="14"/>
        <v>358.29718875502004</v>
      </c>
      <c r="P46" s="101">
        <f t="shared" si="5"/>
        <v>0</v>
      </c>
      <c r="Q46" s="101">
        <f t="shared" si="16"/>
        <v>0</v>
      </c>
      <c r="R46" s="104">
        <f t="shared" si="6"/>
        <v>1</v>
      </c>
      <c r="S46" s="73">
        <f t="shared" si="7"/>
        <v>1.930232558139533</v>
      </c>
    </row>
    <row r="47" spans="1:19" ht="12.75">
      <c r="A47" s="73">
        <v>1.5</v>
      </c>
      <c r="B47" s="93">
        <v>36.80365296803653</v>
      </c>
      <c r="C47" s="73">
        <f t="shared" si="8"/>
        <v>21</v>
      </c>
      <c r="D47" s="73">
        <f t="shared" si="9"/>
        <v>5</v>
      </c>
      <c r="E47" s="73">
        <f t="shared" si="10"/>
        <v>21</v>
      </c>
      <c r="F47" s="101">
        <f t="shared" si="0"/>
        <v>5.963855421686745</v>
      </c>
      <c r="G47" s="101">
        <f t="shared" si="11"/>
        <v>5.963855421686745</v>
      </c>
      <c r="H47" s="101">
        <f t="shared" si="1"/>
        <v>17.663855421686748</v>
      </c>
      <c r="I47" s="80">
        <f t="shared" si="12"/>
        <v>0.930232558139535</v>
      </c>
      <c r="J47" s="80">
        <f t="shared" si="13"/>
        <v>0.8289156626506025</v>
      </c>
      <c r="K47" s="80">
        <f t="shared" si="15"/>
        <v>0.7710843373493977</v>
      </c>
      <c r="L47" s="102">
        <f t="shared" si="2"/>
        <v>0.7710843373493977</v>
      </c>
      <c r="M47" s="103">
        <f t="shared" si="3"/>
        <v>395.68749999999994</v>
      </c>
      <c r="N47" s="103">
        <f t="shared" si="4"/>
        <v>327.9915662650602</v>
      </c>
      <c r="O47" s="103">
        <f t="shared" si="14"/>
        <v>305.10843373493975</v>
      </c>
      <c r="P47" s="101">
        <f t="shared" si="5"/>
        <v>0</v>
      </c>
      <c r="Q47" s="101">
        <f t="shared" si="16"/>
        <v>0</v>
      </c>
      <c r="R47" s="104">
        <f t="shared" si="6"/>
        <v>1</v>
      </c>
      <c r="S47" s="73">
        <f t="shared" si="7"/>
        <v>2.8604651162790695</v>
      </c>
    </row>
    <row r="48" spans="1:19" ht="12.75">
      <c r="A48" s="73">
        <v>2.5</v>
      </c>
      <c r="B48" s="93">
        <v>41.97488584474886</v>
      </c>
      <c r="C48" s="73">
        <f t="shared" si="8"/>
        <v>21</v>
      </c>
      <c r="D48" s="73">
        <f t="shared" si="9"/>
        <v>5</v>
      </c>
      <c r="E48" s="73">
        <f t="shared" si="10"/>
        <v>21</v>
      </c>
      <c r="F48" s="101">
        <f t="shared" si="0"/>
        <v>6.734939759036141</v>
      </c>
      <c r="G48" s="101">
        <f t="shared" si="11"/>
        <v>6.734939759036141</v>
      </c>
      <c r="H48" s="101">
        <f t="shared" si="1"/>
        <v>17.834939759036146</v>
      </c>
      <c r="I48" s="80">
        <f t="shared" si="12"/>
        <v>0.930232558139535</v>
      </c>
      <c r="J48" s="80">
        <f t="shared" si="13"/>
        <v>0.8289156626506025</v>
      </c>
      <c r="K48" s="80">
        <f t="shared" si="15"/>
        <v>0.7710843373493977</v>
      </c>
      <c r="L48" s="102">
        <f t="shared" si="2"/>
        <v>0.7710843373493977</v>
      </c>
      <c r="M48" s="103">
        <f t="shared" si="3"/>
        <v>349.1875000000001</v>
      </c>
      <c r="N48" s="103">
        <f t="shared" si="4"/>
        <v>289.4469879518074</v>
      </c>
      <c r="O48" s="103">
        <f t="shared" si="14"/>
        <v>269.25301204819294</v>
      </c>
      <c r="P48" s="101">
        <f t="shared" si="5"/>
        <v>0</v>
      </c>
      <c r="Q48" s="101">
        <f t="shared" si="16"/>
        <v>0</v>
      </c>
      <c r="R48" s="104">
        <f t="shared" si="6"/>
        <v>1</v>
      </c>
      <c r="S48" s="73">
        <f t="shared" si="7"/>
        <v>3.7906976744186025</v>
      </c>
    </row>
    <row r="49" spans="1:19" ht="12.75">
      <c r="A49" s="73">
        <v>3.5</v>
      </c>
      <c r="B49" s="93">
        <v>45.85616438356164</v>
      </c>
      <c r="C49" s="73">
        <f t="shared" si="8"/>
        <v>21</v>
      </c>
      <c r="D49" s="73">
        <f t="shared" si="9"/>
        <v>5</v>
      </c>
      <c r="E49" s="73">
        <f t="shared" si="10"/>
        <v>21</v>
      </c>
      <c r="F49" s="101">
        <f t="shared" si="0"/>
        <v>7.50602409638554</v>
      </c>
      <c r="G49" s="101">
        <f t="shared" si="11"/>
        <v>7.50602409638554</v>
      </c>
      <c r="H49" s="101">
        <f t="shared" si="1"/>
        <v>18.006024096385545</v>
      </c>
      <c r="I49" s="80">
        <f t="shared" si="12"/>
        <v>0.930232558139535</v>
      </c>
      <c r="J49" s="80">
        <f t="shared" si="13"/>
        <v>0.8289156626506025</v>
      </c>
      <c r="K49" s="80">
        <f t="shared" si="15"/>
        <v>0.7710843373493977</v>
      </c>
      <c r="L49" s="102">
        <f t="shared" si="2"/>
        <v>0.7710843373493977</v>
      </c>
      <c r="M49" s="103">
        <f t="shared" si="3"/>
        <v>247.9166666666663</v>
      </c>
      <c r="N49" s="103">
        <f t="shared" si="4"/>
        <v>205.50200803212823</v>
      </c>
      <c r="O49" s="103">
        <f t="shared" si="14"/>
        <v>191.1646586345379</v>
      </c>
      <c r="P49" s="101">
        <f t="shared" si="5"/>
        <v>0</v>
      </c>
      <c r="Q49" s="101">
        <f t="shared" si="16"/>
        <v>0</v>
      </c>
      <c r="R49" s="104">
        <f t="shared" si="6"/>
        <v>1</v>
      </c>
      <c r="S49" s="73">
        <f t="shared" si="7"/>
        <v>4.720930232558139</v>
      </c>
    </row>
    <row r="50" spans="1:19" ht="12.75">
      <c r="A50" s="73">
        <v>4.5</v>
      </c>
      <c r="B50" s="93">
        <v>49.07534246575342</v>
      </c>
      <c r="C50" s="73">
        <f t="shared" si="8"/>
        <v>21</v>
      </c>
      <c r="D50" s="73">
        <f t="shared" si="9"/>
        <v>5</v>
      </c>
      <c r="E50" s="73">
        <f t="shared" si="10"/>
        <v>21</v>
      </c>
      <c r="F50" s="101">
        <f t="shared" si="0"/>
        <v>8.277108433734938</v>
      </c>
      <c r="G50" s="101">
        <f t="shared" si="11"/>
        <v>8.277108433734938</v>
      </c>
      <c r="H50" s="101">
        <f t="shared" si="1"/>
        <v>18.17710843373494</v>
      </c>
      <c r="I50" s="80">
        <f t="shared" si="12"/>
        <v>0.930232558139535</v>
      </c>
      <c r="J50" s="80">
        <f>L50/I50</f>
        <v>0.8289156626506025</v>
      </c>
      <c r="K50" s="80">
        <f t="shared" si="15"/>
        <v>0.7710843373493977</v>
      </c>
      <c r="L50" s="102">
        <f t="shared" si="2"/>
        <v>0.7710843373493977</v>
      </c>
      <c r="M50" s="103">
        <f t="shared" si="3"/>
        <v>193.87500000000003</v>
      </c>
      <c r="N50" s="103">
        <f t="shared" si="4"/>
        <v>160.70602409638556</v>
      </c>
      <c r="O50" s="103">
        <f t="shared" si="14"/>
        <v>149.4939759036145</v>
      </c>
      <c r="P50" s="101">
        <f t="shared" si="5"/>
        <v>0</v>
      </c>
      <c r="Q50" s="101">
        <f t="shared" si="16"/>
        <v>0</v>
      </c>
      <c r="R50" s="104">
        <f t="shared" si="6"/>
        <v>1</v>
      </c>
      <c r="S50" s="73">
        <f t="shared" si="7"/>
        <v>5.651162790697672</v>
      </c>
    </row>
    <row r="51" spans="1:19" ht="12.75">
      <c r="A51" s="73">
        <v>5.5</v>
      </c>
      <c r="B51" s="93">
        <v>52.363013698630134</v>
      </c>
      <c r="C51" s="73">
        <f t="shared" si="8"/>
        <v>21</v>
      </c>
      <c r="D51" s="73">
        <f t="shared" si="9"/>
        <v>5</v>
      </c>
      <c r="E51" s="73">
        <f t="shared" si="10"/>
        <v>21</v>
      </c>
      <c r="F51" s="101">
        <f t="shared" si="0"/>
        <v>9.048192771084334</v>
      </c>
      <c r="G51" s="101">
        <f t="shared" si="11"/>
        <v>9.048192771084334</v>
      </c>
      <c r="H51" s="101">
        <f t="shared" si="1"/>
        <v>18.34819277108434</v>
      </c>
      <c r="I51" s="80">
        <f t="shared" si="12"/>
        <v>0.930232558139535</v>
      </c>
      <c r="J51" s="80">
        <f>L51/I51</f>
        <v>0.8289156626506025</v>
      </c>
      <c r="K51" s="80">
        <f t="shared" si="15"/>
        <v>0.7710843373493977</v>
      </c>
      <c r="L51" s="102">
        <f t="shared" si="2"/>
        <v>0.7710843373493977</v>
      </c>
      <c r="M51" s="103">
        <f t="shared" si="3"/>
        <v>185.99999999999994</v>
      </c>
      <c r="N51" s="103">
        <f t="shared" si="4"/>
        <v>154.17831325301202</v>
      </c>
      <c r="O51" s="103">
        <f t="shared" si="14"/>
        <v>143.42168674698794</v>
      </c>
      <c r="P51" s="101">
        <f t="shared" si="5"/>
        <v>0</v>
      </c>
      <c r="Q51" s="101">
        <f t="shared" si="16"/>
        <v>0</v>
      </c>
      <c r="R51" s="104">
        <f t="shared" si="6"/>
        <v>1</v>
      </c>
      <c r="S51" s="73">
        <f t="shared" si="7"/>
        <v>6.581395348837209</v>
      </c>
    </row>
    <row r="52" spans="1:19" ht="12.75">
      <c r="A52" s="73">
        <v>6.5</v>
      </c>
      <c r="B52" s="93">
        <v>55.70776255707762</v>
      </c>
      <c r="C52" s="73">
        <f t="shared" si="8"/>
        <v>21</v>
      </c>
      <c r="D52" s="73">
        <f t="shared" si="9"/>
        <v>5</v>
      </c>
      <c r="E52" s="73">
        <f t="shared" si="10"/>
        <v>21</v>
      </c>
      <c r="F52" s="101">
        <f t="shared" si="0"/>
        <v>9.819277108433733</v>
      </c>
      <c r="G52" s="101">
        <f t="shared" si="11"/>
        <v>9.819277108433733</v>
      </c>
      <c r="H52" s="101">
        <f t="shared" si="1"/>
        <v>18.519277108433734</v>
      </c>
      <c r="I52" s="80">
        <f t="shared" si="12"/>
        <v>0.930232558139535</v>
      </c>
      <c r="J52" s="80">
        <f t="shared" si="13"/>
        <v>0.8289156626506025</v>
      </c>
      <c r="K52" s="80">
        <f t="shared" si="15"/>
        <v>0.7710843373493977</v>
      </c>
      <c r="L52" s="102">
        <f t="shared" si="2"/>
        <v>0.7710843373493977</v>
      </c>
      <c r="M52" s="103">
        <f t="shared" si="3"/>
        <v>177.02083333333331</v>
      </c>
      <c r="N52" s="103">
        <f t="shared" si="4"/>
        <v>146.7353413654618</v>
      </c>
      <c r="O52" s="103">
        <f t="shared" si="14"/>
        <v>136.4979919678715</v>
      </c>
      <c r="P52" s="101">
        <f t="shared" si="5"/>
        <v>0</v>
      </c>
      <c r="Q52" s="101">
        <f t="shared" si="16"/>
        <v>0</v>
      </c>
      <c r="R52" s="104">
        <f t="shared" si="6"/>
        <v>1</v>
      </c>
      <c r="S52" s="73">
        <f t="shared" si="7"/>
        <v>7.511627906976743</v>
      </c>
    </row>
    <row r="53" spans="1:19" ht="12.75">
      <c r="A53" s="73">
        <v>7.5</v>
      </c>
      <c r="B53" s="93">
        <v>59.006849315068486</v>
      </c>
      <c r="C53" s="73">
        <f t="shared" si="8"/>
        <v>21</v>
      </c>
      <c r="D53" s="73">
        <f t="shared" si="9"/>
        <v>5</v>
      </c>
      <c r="E53" s="73">
        <f t="shared" si="10"/>
        <v>21</v>
      </c>
      <c r="F53" s="101">
        <f t="shared" si="0"/>
        <v>10.590361445783131</v>
      </c>
      <c r="G53" s="101">
        <f t="shared" si="11"/>
        <v>10.590361445783131</v>
      </c>
      <c r="H53" s="101">
        <f t="shared" si="1"/>
        <v>18.690361445783132</v>
      </c>
      <c r="I53" s="80">
        <f t="shared" si="12"/>
        <v>0.930232558139535</v>
      </c>
      <c r="J53" s="80">
        <f t="shared" si="13"/>
        <v>0.8289156626506025</v>
      </c>
      <c r="K53" s="80">
        <f t="shared" si="15"/>
        <v>0.7710843373493977</v>
      </c>
      <c r="L53" s="102">
        <f t="shared" si="2"/>
        <v>0.7710843373493977</v>
      </c>
      <c r="M53" s="103">
        <f t="shared" si="3"/>
        <v>162.5624999999998</v>
      </c>
      <c r="N53" s="103">
        <f t="shared" si="4"/>
        <v>134.7506024096384</v>
      </c>
      <c r="O53" s="103">
        <f t="shared" si="14"/>
        <v>125.3493975903613</v>
      </c>
      <c r="P53" s="101">
        <f t="shared" si="5"/>
        <v>0</v>
      </c>
      <c r="Q53" s="101">
        <f t="shared" si="16"/>
        <v>0</v>
      </c>
      <c r="R53" s="104">
        <f t="shared" si="6"/>
        <v>1</v>
      </c>
      <c r="S53" s="73">
        <f t="shared" si="7"/>
        <v>8.441860465116278</v>
      </c>
    </row>
    <row r="54" spans="1:19" ht="12.75">
      <c r="A54" s="73">
        <v>8.5</v>
      </c>
      <c r="B54" s="93">
        <v>62.23744292237443</v>
      </c>
      <c r="C54" s="73">
        <f t="shared" si="8"/>
        <v>21</v>
      </c>
      <c r="D54" s="73">
        <f t="shared" si="9"/>
        <v>5</v>
      </c>
      <c r="E54" s="73">
        <f t="shared" si="10"/>
        <v>21</v>
      </c>
      <c r="F54" s="101">
        <f t="shared" si="0"/>
        <v>11.361445783132528</v>
      </c>
      <c r="G54" s="101">
        <f t="shared" si="11"/>
        <v>11.361445783132528</v>
      </c>
      <c r="H54" s="101">
        <f t="shared" si="1"/>
        <v>18.86144578313253</v>
      </c>
      <c r="I54" s="80">
        <f t="shared" si="12"/>
        <v>0.930232558139535</v>
      </c>
      <c r="J54" s="80">
        <f t="shared" si="13"/>
        <v>0.8289156626506026</v>
      </c>
      <c r="K54" s="80">
        <f t="shared" si="15"/>
        <v>0.7710843373493977</v>
      </c>
      <c r="L54" s="102">
        <f t="shared" si="2"/>
        <v>0.7710843373493979</v>
      </c>
      <c r="M54" s="103">
        <f t="shared" si="3"/>
        <v>147.39583333333357</v>
      </c>
      <c r="N54" s="103">
        <f t="shared" si="4"/>
        <v>122.17871485943796</v>
      </c>
      <c r="O54" s="103">
        <f t="shared" si="14"/>
        <v>113.6546184738958</v>
      </c>
      <c r="P54" s="101">
        <f t="shared" si="5"/>
        <v>0</v>
      </c>
      <c r="Q54" s="101">
        <f t="shared" si="16"/>
        <v>0</v>
      </c>
      <c r="R54" s="104">
        <f t="shared" si="6"/>
        <v>1</v>
      </c>
      <c r="S54" s="73">
        <f t="shared" si="7"/>
        <v>9.372093023255813</v>
      </c>
    </row>
    <row r="55" spans="1:19" ht="12.75">
      <c r="A55" s="73">
        <v>9.5</v>
      </c>
      <c r="B55" s="93">
        <v>65.55936073059361</v>
      </c>
      <c r="C55" s="73">
        <f t="shared" si="8"/>
        <v>21</v>
      </c>
      <c r="D55" s="73">
        <f t="shared" si="9"/>
        <v>5</v>
      </c>
      <c r="E55" s="73">
        <f t="shared" si="10"/>
        <v>21</v>
      </c>
      <c r="F55" s="101">
        <f t="shared" si="0"/>
        <v>12.132530120481926</v>
      </c>
      <c r="G55" s="101">
        <f t="shared" si="11"/>
        <v>12.132530120481926</v>
      </c>
      <c r="H55" s="101">
        <f t="shared" si="1"/>
        <v>19.03253012048193</v>
      </c>
      <c r="I55" s="80">
        <f t="shared" si="12"/>
        <v>0.930232558139535</v>
      </c>
      <c r="J55" s="80">
        <f t="shared" si="13"/>
        <v>0.8289156626506025</v>
      </c>
      <c r="K55" s="80">
        <f t="shared" si="15"/>
        <v>0.7710843373493977</v>
      </c>
      <c r="L55" s="102">
        <f t="shared" si="2"/>
        <v>0.7710843373493977</v>
      </c>
      <c r="M55" s="103">
        <f t="shared" si="3"/>
        <v>139.4375000000002</v>
      </c>
      <c r="N55" s="103">
        <f t="shared" si="4"/>
        <v>115.58192771084357</v>
      </c>
      <c r="O55" s="103">
        <f t="shared" si="14"/>
        <v>107.5180722891568</v>
      </c>
      <c r="P55" s="101">
        <f t="shared" si="5"/>
        <v>0</v>
      </c>
      <c r="Q55" s="101">
        <f t="shared" si="16"/>
        <v>0</v>
      </c>
      <c r="R55" s="104">
        <f t="shared" si="6"/>
        <v>1</v>
      </c>
      <c r="S55" s="73">
        <f t="shared" si="7"/>
        <v>10.302325581395348</v>
      </c>
    </row>
    <row r="56" spans="1:19" ht="12.75">
      <c r="A56" s="73">
        <v>10.5</v>
      </c>
      <c r="B56" s="93">
        <v>68.80136986301369</v>
      </c>
      <c r="C56" s="73">
        <f t="shared" si="8"/>
        <v>21</v>
      </c>
      <c r="D56" s="73">
        <f t="shared" si="9"/>
        <v>5</v>
      </c>
      <c r="E56" s="73">
        <f t="shared" si="10"/>
        <v>21</v>
      </c>
      <c r="F56" s="101">
        <f t="shared" si="0"/>
        <v>12.903614457831324</v>
      </c>
      <c r="G56" s="101">
        <f t="shared" si="11"/>
        <v>12.903614457831324</v>
      </c>
      <c r="H56" s="101">
        <f t="shared" si="1"/>
        <v>19.20361445783133</v>
      </c>
      <c r="I56" s="80">
        <f t="shared" si="12"/>
        <v>0.930232558139535</v>
      </c>
      <c r="J56" s="80">
        <f t="shared" si="13"/>
        <v>0.8289156626506025</v>
      </c>
      <c r="K56" s="80">
        <f t="shared" si="15"/>
        <v>0.7710843373493977</v>
      </c>
      <c r="L56" s="102">
        <f t="shared" si="2"/>
        <v>0.7710843373493977</v>
      </c>
      <c r="M56" s="103">
        <f t="shared" si="3"/>
        <v>124.24999999999956</v>
      </c>
      <c r="N56" s="103">
        <f t="shared" si="4"/>
        <v>102.99277108433702</v>
      </c>
      <c r="O56" s="103">
        <f t="shared" si="14"/>
        <v>95.80722891566232</v>
      </c>
      <c r="P56" s="101">
        <f t="shared" si="5"/>
        <v>0</v>
      </c>
      <c r="Q56" s="101">
        <f t="shared" si="16"/>
        <v>0</v>
      </c>
      <c r="R56" s="104">
        <f t="shared" si="6"/>
        <v>1</v>
      </c>
      <c r="S56" s="73">
        <f t="shared" si="7"/>
        <v>11.232558139534882</v>
      </c>
    </row>
    <row r="57" spans="1:19" ht="12.75">
      <c r="A57" s="73">
        <v>11.5</v>
      </c>
      <c r="B57" s="93">
        <v>72.20319634703196</v>
      </c>
      <c r="C57" s="73">
        <f t="shared" si="8"/>
        <v>21</v>
      </c>
      <c r="D57" s="73">
        <f t="shared" si="9"/>
        <v>5</v>
      </c>
      <c r="E57" s="73">
        <f t="shared" si="10"/>
        <v>21</v>
      </c>
      <c r="F57" s="101">
        <f t="shared" si="0"/>
        <v>13.67469879518072</v>
      </c>
      <c r="G57" s="101">
        <f t="shared" si="11"/>
        <v>13.67469879518072</v>
      </c>
      <c r="H57" s="101">
        <f t="shared" si="1"/>
        <v>19.374698795180723</v>
      </c>
      <c r="I57" s="80">
        <f t="shared" si="12"/>
        <v>0.930232558139535</v>
      </c>
      <c r="J57" s="80">
        <f t="shared" si="13"/>
        <v>0.8289156626506026</v>
      </c>
      <c r="K57" s="80">
        <f>K56</f>
        <v>0.7710843373493977</v>
      </c>
      <c r="L57" s="102">
        <f t="shared" si="2"/>
        <v>0.7710843373493979</v>
      </c>
      <c r="M57" s="103">
        <f t="shared" si="3"/>
        <v>117.95833333333358</v>
      </c>
      <c r="N57" s="103">
        <f t="shared" si="4"/>
        <v>97.77751004016085</v>
      </c>
      <c r="O57" s="103">
        <f t="shared" si="14"/>
        <v>90.95582329317291</v>
      </c>
      <c r="P57" s="101">
        <f t="shared" si="5"/>
        <v>0</v>
      </c>
      <c r="Q57" s="101">
        <f t="shared" si="16"/>
        <v>0</v>
      </c>
      <c r="R57" s="104">
        <f t="shared" si="6"/>
        <v>1</v>
      </c>
      <c r="S57" s="73">
        <f t="shared" si="7"/>
        <v>12.162790697674417</v>
      </c>
    </row>
    <row r="58" spans="1:18" ht="12.75">
      <c r="A58" s="73">
        <v>12.5</v>
      </c>
      <c r="B58" s="93">
        <v>75.52511415525115</v>
      </c>
      <c r="F58" s="101"/>
      <c r="G58" s="101"/>
      <c r="H58" s="101"/>
      <c r="I58" s="80"/>
      <c r="J58" s="80"/>
      <c r="K58" s="80"/>
      <c r="L58" s="102"/>
      <c r="M58" s="103"/>
      <c r="N58" s="103"/>
      <c r="O58" s="103"/>
      <c r="P58" s="101"/>
      <c r="Q58" s="101"/>
      <c r="R58" s="104"/>
    </row>
    <row r="59" spans="1:18" ht="12.75">
      <c r="A59" s="73">
        <v>13.5</v>
      </c>
      <c r="B59" s="93">
        <v>79.1095890410959</v>
      </c>
      <c r="F59" s="101"/>
      <c r="G59" s="101"/>
      <c r="H59" s="101"/>
      <c r="I59" s="80"/>
      <c r="J59" s="80"/>
      <c r="K59" s="80"/>
      <c r="L59" s="102"/>
      <c r="M59" s="103"/>
      <c r="N59" s="103"/>
      <c r="O59" s="103"/>
      <c r="P59" s="101"/>
      <c r="Q59" s="101"/>
      <c r="R59" s="104"/>
    </row>
    <row r="60" spans="1:18" ht="12.75">
      <c r="A60" s="73">
        <v>14.5</v>
      </c>
      <c r="B60" s="93">
        <v>82.65981735159818</v>
      </c>
      <c r="F60" s="101"/>
      <c r="G60" s="101"/>
      <c r="H60" s="101"/>
      <c r="I60" s="80"/>
      <c r="J60" s="80"/>
      <c r="K60" s="80"/>
      <c r="L60" s="102"/>
      <c r="M60" s="103"/>
      <c r="N60" s="103"/>
      <c r="O60" s="103"/>
      <c r="P60" s="101"/>
      <c r="Q60" s="101"/>
      <c r="R60" s="104"/>
    </row>
    <row r="61" spans="1:18" ht="12.75">
      <c r="A61" s="73">
        <v>15.5</v>
      </c>
      <c r="B61" s="93">
        <v>85.94748858447488</v>
      </c>
      <c r="F61" s="101"/>
      <c r="G61" s="101"/>
      <c r="H61" s="101"/>
      <c r="I61" s="80"/>
      <c r="J61" s="80"/>
      <c r="K61" s="80"/>
      <c r="L61" s="102"/>
      <c r="M61" s="103"/>
      <c r="N61" s="103"/>
      <c r="O61" s="103"/>
      <c r="P61" s="101"/>
      <c r="Q61" s="101"/>
      <c r="R61" s="104"/>
    </row>
    <row r="62" spans="1:18" ht="12.75">
      <c r="A62" s="73">
        <v>16.5</v>
      </c>
      <c r="B62" s="93">
        <v>89.29223744292237</v>
      </c>
      <c r="F62" s="101"/>
      <c r="G62" s="101"/>
      <c r="H62" s="101"/>
      <c r="I62" s="80"/>
      <c r="J62" s="80"/>
      <c r="K62" s="80"/>
      <c r="L62" s="102"/>
      <c r="M62" s="103"/>
      <c r="N62" s="103"/>
      <c r="O62" s="103"/>
      <c r="P62" s="101"/>
      <c r="Q62" s="101"/>
      <c r="R62" s="104"/>
    </row>
    <row r="63" spans="1:18" ht="12.75">
      <c r="A63" s="73">
        <v>17.5</v>
      </c>
      <c r="B63" s="93">
        <v>91.76940639269407</v>
      </c>
      <c r="F63" s="101"/>
      <c r="G63" s="101"/>
      <c r="H63" s="101"/>
      <c r="I63" s="80"/>
      <c r="J63" s="80"/>
      <c r="K63" s="80"/>
      <c r="L63" s="102"/>
      <c r="M63" s="103"/>
      <c r="N63" s="103"/>
      <c r="O63" s="103"/>
      <c r="P63" s="101"/>
      <c r="Q63" s="101"/>
      <c r="R63" s="104"/>
    </row>
    <row r="64" spans="1:18" ht="12.75">
      <c r="A64" s="73">
        <v>18.5</v>
      </c>
      <c r="B64" s="93">
        <v>93.66438356164383</v>
      </c>
      <c r="F64" s="101"/>
      <c r="G64" s="101"/>
      <c r="H64" s="101"/>
      <c r="I64" s="80"/>
      <c r="J64" s="80"/>
      <c r="K64" s="80"/>
      <c r="L64" s="102"/>
      <c r="M64" s="103"/>
      <c r="N64" s="103"/>
      <c r="O64" s="103"/>
      <c r="P64" s="101"/>
      <c r="Q64" s="101"/>
      <c r="R64" s="104"/>
    </row>
    <row r="65" spans="1:18" ht="12.75">
      <c r="A65" s="73">
        <v>19.5</v>
      </c>
      <c r="B65" s="93">
        <v>95.47945205479452</v>
      </c>
      <c r="F65" s="101"/>
      <c r="G65" s="101"/>
      <c r="H65" s="101"/>
      <c r="I65" s="80"/>
      <c r="J65" s="80"/>
      <c r="K65" s="80"/>
      <c r="L65" s="102"/>
      <c r="M65" s="103"/>
      <c r="N65" s="103"/>
      <c r="O65" s="103"/>
      <c r="P65" s="101"/>
      <c r="Q65" s="101"/>
      <c r="R65" s="104"/>
    </row>
    <row r="66" spans="1:18" ht="12.75">
      <c r="A66" s="73">
        <v>20.5</v>
      </c>
      <c r="B66" s="93">
        <v>97.10045662100457</v>
      </c>
      <c r="F66" s="101"/>
      <c r="G66" s="101"/>
      <c r="H66" s="101"/>
      <c r="I66" s="80"/>
      <c r="J66" s="80"/>
      <c r="K66" s="80"/>
      <c r="L66" s="102"/>
      <c r="M66" s="103"/>
      <c r="N66" s="103"/>
      <c r="O66" s="103"/>
      <c r="P66" s="101"/>
      <c r="Q66" s="101"/>
      <c r="R66" s="104"/>
    </row>
    <row r="67" spans="1:15" ht="12.75">
      <c r="A67" s="73">
        <v>21.5</v>
      </c>
      <c r="B67" s="93">
        <v>98.1392694063927</v>
      </c>
      <c r="C67" s="105"/>
      <c r="D67" s="105"/>
      <c r="E67" s="105"/>
      <c r="F67" s="105"/>
      <c r="G67" s="105"/>
      <c r="H67" s="105"/>
      <c r="I67" s="105"/>
      <c r="J67" s="105"/>
      <c r="K67" s="105"/>
      <c r="L67" s="106"/>
      <c r="M67" s="107"/>
      <c r="N67" s="107"/>
      <c r="O67" s="107"/>
    </row>
    <row r="68" spans="1:16" ht="12.75">
      <c r="A68" s="73">
        <v>22.5</v>
      </c>
      <c r="B68" s="93">
        <v>98.6986301369863</v>
      </c>
      <c r="J68" s="102"/>
      <c r="K68" s="102"/>
      <c r="L68" s="102"/>
      <c r="M68" s="107"/>
      <c r="N68" s="107"/>
      <c r="O68" s="108"/>
      <c r="P68" s="101"/>
    </row>
    <row r="69" spans="1:16" ht="12.75">
      <c r="A69" s="73">
        <v>23.5</v>
      </c>
      <c r="B69" s="93">
        <v>99.16666666666667</v>
      </c>
      <c r="L69" s="107"/>
      <c r="M69" s="107"/>
      <c r="N69" s="107"/>
      <c r="O69" s="107"/>
      <c r="P69" s="101"/>
    </row>
    <row r="70" spans="1:16" ht="12.75">
      <c r="A70" s="73">
        <v>24.5</v>
      </c>
      <c r="B70" s="93">
        <v>99.49771689497717</v>
      </c>
      <c r="L70" s="107"/>
      <c r="M70" s="107"/>
      <c r="N70" s="107"/>
      <c r="O70" s="108"/>
      <c r="P70" s="101"/>
    </row>
    <row r="71" spans="1:16" ht="12.75">
      <c r="A71" s="73">
        <v>25.5</v>
      </c>
      <c r="B71" s="93">
        <v>99.85159817351598</v>
      </c>
      <c r="L71" s="107"/>
      <c r="M71" s="107"/>
      <c r="N71" s="107"/>
      <c r="O71" s="108"/>
      <c r="P71" s="101"/>
    </row>
    <row r="72" spans="1:16" ht="12.75">
      <c r="A72" s="73">
        <v>26.5</v>
      </c>
      <c r="B72" s="93">
        <v>99.90867579908675</v>
      </c>
      <c r="O72" s="101"/>
      <c r="P72" s="101"/>
    </row>
    <row r="73" spans="1:16" ht="12.75">
      <c r="A73" s="73">
        <v>27.5</v>
      </c>
      <c r="B73" s="93">
        <v>99.94292237442922</v>
      </c>
      <c r="J73" s="102"/>
      <c r="K73" s="102"/>
      <c r="L73" s="102"/>
      <c r="O73" s="101"/>
      <c r="P73" s="101"/>
    </row>
    <row r="74" spans="1:16" ht="12.75">
      <c r="A74" s="73">
        <v>28.5</v>
      </c>
      <c r="B74" s="93">
        <v>100</v>
      </c>
      <c r="O74" s="101"/>
      <c r="P74" s="101"/>
    </row>
    <row r="75" spans="2:16" ht="12.75">
      <c r="B75" s="104"/>
      <c r="O75" s="101"/>
      <c r="P75" s="101"/>
    </row>
    <row r="76" spans="2:16" ht="12.75">
      <c r="B76" s="104"/>
      <c r="O76" s="101"/>
      <c r="P76" s="101"/>
    </row>
    <row r="77" spans="2:16" ht="12.75">
      <c r="B77" s="104"/>
      <c r="O77" s="77"/>
      <c r="P77" s="101"/>
    </row>
    <row r="78" spans="2:16" ht="12.75">
      <c r="B78" s="104"/>
      <c r="O78" s="77"/>
      <c r="P78" s="101"/>
    </row>
    <row r="79" spans="2:16" ht="12.75">
      <c r="B79" s="104"/>
      <c r="O79" s="77"/>
      <c r="P79" s="101"/>
    </row>
    <row r="80" spans="2:16" ht="12.75">
      <c r="B80" s="104"/>
      <c r="O80" s="77"/>
      <c r="P80" s="101"/>
    </row>
    <row r="81" spans="2:16" ht="12.75">
      <c r="B81" s="104"/>
      <c r="O81" s="77"/>
      <c r="P81" s="101"/>
    </row>
    <row r="82" spans="2:16" ht="12.75">
      <c r="B82" s="104"/>
      <c r="O82" s="77"/>
      <c r="P82" s="101"/>
    </row>
    <row r="83" spans="15:16" ht="12.75">
      <c r="O83" s="77"/>
      <c r="P83" s="101"/>
    </row>
    <row r="84" spans="15:16" ht="12.75">
      <c r="O84" s="77"/>
      <c r="P84" s="101"/>
    </row>
    <row r="85" spans="15:16" ht="12.75">
      <c r="O85" s="77"/>
      <c r="P85" s="101"/>
    </row>
    <row r="86" spans="15:16" ht="12.75">
      <c r="O86" s="77"/>
      <c r="P86" s="101"/>
    </row>
    <row r="87" spans="15:16" ht="12.75">
      <c r="O87" s="77"/>
      <c r="P87" s="101"/>
    </row>
    <row r="88" spans="15:16" ht="12.75">
      <c r="O88" s="77"/>
      <c r="P88" s="101"/>
    </row>
    <row r="89" spans="15:16" ht="12.75">
      <c r="O89" s="77"/>
      <c r="P89" s="101"/>
    </row>
    <row r="90" spans="15:16" ht="12.75">
      <c r="O90" s="77"/>
      <c r="P90" s="101"/>
    </row>
    <row r="91" spans="15:16" ht="12.75">
      <c r="O91" s="77"/>
      <c r="P91" s="101"/>
    </row>
    <row r="92" spans="2:17" ht="12.75">
      <c r="B92" s="80"/>
      <c r="P92" s="77"/>
      <c r="Q92" s="101"/>
    </row>
    <row r="93" spans="2:17" ht="12.75">
      <c r="B93" s="80"/>
      <c r="P93" s="77"/>
      <c r="Q93" s="101"/>
    </row>
  </sheetData>
  <sheetProtection password="94B5" sheet="1" objects="1" scenarios="1" selectLockedCells="1"/>
  <conditionalFormatting sqref="G24:G66 H20:H21">
    <cfRule type="cellIs" priority="1" dxfId="0" operator="lessThan" stopIfTrue="1">
      <formula>$D$24</formula>
    </cfRule>
  </conditionalFormatting>
  <printOptions/>
  <pageMargins left="0.75" right="0.75" top="1"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S97"/>
  <sheetViews>
    <sheetView zoomScalePageLayoutView="0" workbookViewId="0" topLeftCell="A4">
      <selection activeCell="A4" sqref="A1:IV16384"/>
    </sheetView>
  </sheetViews>
  <sheetFormatPr defaultColWidth="8.8515625" defaultRowHeight="12.75"/>
  <cols>
    <col min="1" max="2" width="8.8515625" style="73" customWidth="1"/>
    <col min="3" max="4" width="10.00390625" style="73" customWidth="1"/>
    <col min="5" max="14" width="8.8515625" style="73" customWidth="1"/>
    <col min="15" max="15" width="9.57421875" style="73" bestFit="1" customWidth="1"/>
    <col min="16" max="16384" width="8.8515625" style="73" customWidth="1"/>
  </cols>
  <sheetData>
    <row r="1" spans="1:11" ht="12.75">
      <c r="A1" s="72"/>
      <c r="B1" s="72"/>
      <c r="D1" s="72"/>
      <c r="F1" s="72"/>
      <c r="H1" s="72" t="s">
        <v>36</v>
      </c>
      <c r="I1" s="72" t="s">
        <v>38</v>
      </c>
      <c r="J1" s="74" t="s">
        <v>96</v>
      </c>
      <c r="K1" s="72" t="s">
        <v>40</v>
      </c>
    </row>
    <row r="2" spans="1:7" ht="12.75">
      <c r="A2" s="72"/>
      <c r="G2" s="73" t="s">
        <v>41</v>
      </c>
    </row>
    <row r="3" spans="1:10" ht="12.75">
      <c r="A3" s="72"/>
      <c r="G3" s="75" t="s">
        <v>43</v>
      </c>
      <c r="J3" s="78">
        <f>M18</f>
        <v>7503.568799999999</v>
      </c>
    </row>
    <row r="4" spans="1:10" ht="12.75">
      <c r="A4" s="72"/>
      <c r="G4" s="75" t="s">
        <v>45</v>
      </c>
      <c r="J4" s="78">
        <f>J3-J5</f>
        <v>2593.904645783132</v>
      </c>
    </row>
    <row r="5" spans="7:10" ht="12.75">
      <c r="G5" s="75" t="s">
        <v>49</v>
      </c>
      <c r="J5" s="78">
        <f>O18</f>
        <v>4909.664154216867</v>
      </c>
    </row>
    <row r="6" spans="7:10" ht="12.75">
      <c r="G6" s="75" t="s">
        <v>47</v>
      </c>
      <c r="J6" s="81">
        <f>J5/J3</f>
        <v>0.6543105401015138</v>
      </c>
    </row>
    <row r="7" spans="7:10" ht="12.75">
      <c r="G7" s="75" t="s">
        <v>50</v>
      </c>
      <c r="J7" s="78">
        <f>Q18</f>
        <v>764.6552400000003</v>
      </c>
    </row>
    <row r="8" spans="7:10" ht="12.75">
      <c r="G8" s="75" t="s">
        <v>48</v>
      </c>
      <c r="J8" s="77">
        <f>Q22</f>
        <v>617.454166666667</v>
      </c>
    </row>
    <row r="9" spans="7:10" ht="12.75">
      <c r="G9" s="75" t="s">
        <v>42</v>
      </c>
      <c r="J9" s="77">
        <f>M22</f>
        <v>6059.083333333333</v>
      </c>
    </row>
    <row r="10" spans="7:10" ht="12.75">
      <c r="G10" s="75" t="s">
        <v>51</v>
      </c>
      <c r="J10" s="77">
        <f>N22</f>
        <v>4261.861244979919</v>
      </c>
    </row>
    <row r="11" spans="2:18" ht="12.75">
      <c r="B11" s="71"/>
      <c r="C11" s="71"/>
      <c r="D11" s="71"/>
      <c r="E11" s="71"/>
      <c r="F11" s="71"/>
      <c r="G11" s="95" t="s">
        <v>52</v>
      </c>
      <c r="H11" s="71"/>
      <c r="I11" s="71"/>
      <c r="J11" s="109">
        <f>O22</f>
        <v>3964.5220883534143</v>
      </c>
      <c r="K11" s="71"/>
      <c r="L11" s="71"/>
      <c r="M11" s="71"/>
      <c r="N11" s="71"/>
      <c r="O11" s="71"/>
      <c r="P11" s="71"/>
      <c r="Q11" s="71"/>
      <c r="R11" s="71"/>
    </row>
    <row r="12" spans="2:18" ht="12.75">
      <c r="B12" s="71"/>
      <c r="C12" s="71"/>
      <c r="D12" s="71"/>
      <c r="E12" s="71"/>
      <c r="F12" s="71"/>
      <c r="G12" s="95" t="s">
        <v>53</v>
      </c>
      <c r="H12" s="71"/>
      <c r="I12" s="71"/>
      <c r="J12" s="71">
        <f>P14</f>
        <v>43</v>
      </c>
      <c r="K12" s="71"/>
      <c r="L12" s="71"/>
      <c r="M12" s="71"/>
      <c r="N12" s="71"/>
      <c r="O12" s="71"/>
      <c r="P12" s="71"/>
      <c r="Q12" s="71"/>
      <c r="R12" s="71"/>
    </row>
    <row r="13" spans="2:18" ht="12.75">
      <c r="B13" s="71"/>
      <c r="C13" s="71"/>
      <c r="D13" s="71"/>
      <c r="E13" s="71"/>
      <c r="F13" s="71"/>
      <c r="G13" s="95" t="s">
        <v>54</v>
      </c>
      <c r="H13" s="71"/>
      <c r="I13" s="71"/>
      <c r="J13" s="71">
        <f>E24</f>
        <v>21</v>
      </c>
      <c r="K13" s="71"/>
      <c r="L13" s="71"/>
      <c r="M13" s="71"/>
      <c r="N13" s="71"/>
      <c r="O13" s="71"/>
      <c r="P13" s="71"/>
      <c r="Q13" s="71"/>
      <c r="R13" s="71"/>
    </row>
    <row r="14" spans="2:18" ht="19.5">
      <c r="B14" s="71"/>
      <c r="C14" s="71"/>
      <c r="D14" s="71"/>
      <c r="E14" s="71"/>
      <c r="F14" s="71"/>
      <c r="G14" s="95" t="s">
        <v>44</v>
      </c>
      <c r="H14" s="71"/>
      <c r="I14" s="71"/>
      <c r="J14" s="71">
        <f>P23</f>
        <v>15</v>
      </c>
      <c r="K14" s="71"/>
      <c r="L14" s="71"/>
      <c r="M14" s="110" t="s">
        <v>127</v>
      </c>
      <c r="N14" s="111">
        <f>N22/M22*I24</f>
        <v>0.6543105401015138</v>
      </c>
      <c r="O14" s="71"/>
      <c r="P14" s="112">
        <f>'Hki-2012'!P14</f>
        <v>43</v>
      </c>
      <c r="Q14" s="112" t="s">
        <v>55</v>
      </c>
      <c r="R14" s="71"/>
    </row>
    <row r="15" spans="2:18" ht="12.75">
      <c r="B15" s="71"/>
      <c r="C15" s="71"/>
      <c r="D15" s="71"/>
      <c r="E15" s="71"/>
      <c r="F15" s="71"/>
      <c r="G15" s="95" t="s">
        <v>56</v>
      </c>
      <c r="H15" s="71"/>
      <c r="I15" s="71"/>
      <c r="J15" s="71">
        <f>D24</f>
        <v>5</v>
      </c>
      <c r="K15" s="71"/>
      <c r="L15" s="71"/>
      <c r="M15" s="71"/>
      <c r="N15" s="71"/>
      <c r="O15" s="71"/>
      <c r="P15" s="71"/>
      <c r="Q15" s="71"/>
      <c r="R15" s="71"/>
    </row>
    <row r="16" spans="2:18" ht="12.75">
      <c r="B16" s="71"/>
      <c r="C16" s="71"/>
      <c r="D16" s="71"/>
      <c r="E16" s="71"/>
      <c r="F16" s="71"/>
      <c r="G16" s="95" t="s">
        <v>46</v>
      </c>
      <c r="H16" s="71"/>
      <c r="I16" s="71"/>
      <c r="J16" s="99">
        <f>K24</f>
        <v>0.7710843373493977</v>
      </c>
      <c r="K16" s="71"/>
      <c r="L16" s="71"/>
      <c r="M16" s="71" t="s">
        <v>57</v>
      </c>
      <c r="N16" s="71"/>
      <c r="O16" s="71" t="s">
        <v>58</v>
      </c>
      <c r="P16" s="71"/>
      <c r="Q16" s="71"/>
      <c r="R16" s="71"/>
    </row>
    <row r="17" spans="2:18" ht="12.75">
      <c r="B17" s="71"/>
      <c r="C17" s="71"/>
      <c r="D17" s="71"/>
      <c r="E17" s="71"/>
      <c r="F17" s="71"/>
      <c r="G17" s="95" t="s">
        <v>59</v>
      </c>
      <c r="H17" s="71"/>
      <c r="I17" s="71"/>
      <c r="J17" s="99">
        <f>I24</f>
        <v>0.930232558139535</v>
      </c>
      <c r="K17" s="71"/>
      <c r="L17" s="71"/>
      <c r="M17" s="71" t="s">
        <v>60</v>
      </c>
      <c r="N17" s="71"/>
      <c r="O17" s="71" t="s">
        <v>61</v>
      </c>
      <c r="P17" s="71"/>
      <c r="Q17" s="71" t="s">
        <v>62</v>
      </c>
      <c r="R17" s="71"/>
    </row>
    <row r="18" spans="2:18" ht="12.75">
      <c r="B18" s="71"/>
      <c r="C18" s="71"/>
      <c r="D18" s="71"/>
      <c r="E18" s="71"/>
      <c r="F18" s="71"/>
      <c r="G18" s="95" t="s">
        <v>63</v>
      </c>
      <c r="H18" s="71"/>
      <c r="I18" s="71"/>
      <c r="J18" s="71">
        <v>12</v>
      </c>
      <c r="K18" s="71"/>
      <c r="L18" s="71"/>
      <c r="M18" s="113">
        <f>P14/1000*1.2*M22*24</f>
        <v>7503.568799999999</v>
      </c>
      <c r="N18" s="113"/>
      <c r="O18" s="113">
        <f>P14/1000*1.2*O22*24</f>
        <v>4909.664154216867</v>
      </c>
      <c r="P18" s="71"/>
      <c r="Q18" s="113">
        <f>P14/1000*1.2*Q22*24</f>
        <v>764.6552400000003</v>
      </c>
      <c r="R18" s="71"/>
    </row>
    <row r="19" spans="2:18" ht="12.75">
      <c r="B19" s="71"/>
      <c r="C19" s="71"/>
      <c r="D19" s="71"/>
      <c r="E19" s="71"/>
      <c r="F19" s="71"/>
      <c r="G19" s="71"/>
      <c r="H19" s="71"/>
      <c r="I19" s="71"/>
      <c r="J19" s="71"/>
      <c r="K19" s="71"/>
      <c r="L19" s="71"/>
      <c r="M19" s="71" t="s">
        <v>24</v>
      </c>
      <c r="N19" s="71"/>
      <c r="O19" s="71"/>
      <c r="P19" s="71"/>
      <c r="Q19" s="114"/>
      <c r="R19" s="114"/>
    </row>
    <row r="20" spans="2:18" ht="12.75">
      <c r="B20" s="90">
        <v>40669</v>
      </c>
      <c r="C20" s="71"/>
      <c r="D20" s="71"/>
      <c r="E20" s="71"/>
      <c r="F20" s="71"/>
      <c r="G20" s="71"/>
      <c r="H20" s="71"/>
      <c r="I20" s="71"/>
      <c r="J20" s="71"/>
      <c r="K20" s="71"/>
      <c r="L20" s="71"/>
      <c r="M20" s="115" t="s">
        <v>25</v>
      </c>
      <c r="N20" s="115" t="s">
        <v>25</v>
      </c>
      <c r="O20" s="115" t="s">
        <v>26</v>
      </c>
      <c r="P20" s="71" t="s">
        <v>64</v>
      </c>
      <c r="Q20" s="71"/>
      <c r="R20" s="71"/>
    </row>
    <row r="21" spans="1:18" ht="12.75">
      <c r="A21" s="93" t="s">
        <v>96</v>
      </c>
      <c r="B21" s="71"/>
      <c r="C21" s="71"/>
      <c r="D21" s="71"/>
      <c r="E21" s="71"/>
      <c r="F21" s="71"/>
      <c r="G21" s="71"/>
      <c r="H21" s="71"/>
      <c r="I21" s="71"/>
      <c r="J21" s="71"/>
      <c r="K21" s="71"/>
      <c r="L21" s="71"/>
      <c r="M21" s="95" t="s">
        <v>33</v>
      </c>
      <c r="N21" s="95" t="s">
        <v>34</v>
      </c>
      <c r="O21" s="95" t="s">
        <v>35</v>
      </c>
      <c r="P21" s="71"/>
      <c r="Q21" s="71"/>
      <c r="R21" s="112"/>
    </row>
    <row r="22" spans="1:19" ht="19.5">
      <c r="A22" s="75" t="s">
        <v>27</v>
      </c>
      <c r="B22" s="95" t="s">
        <v>28</v>
      </c>
      <c r="C22" s="95" t="s">
        <v>65</v>
      </c>
      <c r="D22" s="95" t="s">
        <v>66</v>
      </c>
      <c r="E22" s="95" t="s">
        <v>29</v>
      </c>
      <c r="F22" s="95" t="s">
        <v>67</v>
      </c>
      <c r="G22" s="95" t="s">
        <v>30</v>
      </c>
      <c r="H22" s="95" t="s">
        <v>31</v>
      </c>
      <c r="I22" s="71" t="s">
        <v>32</v>
      </c>
      <c r="J22" s="110" t="s">
        <v>128</v>
      </c>
      <c r="K22" s="110" t="s">
        <v>129</v>
      </c>
      <c r="L22" s="110" t="s">
        <v>129</v>
      </c>
      <c r="M22" s="109">
        <f>SUM(M23:M90)</f>
        <v>6059.083333333333</v>
      </c>
      <c r="N22" s="109">
        <f>SUM(N23:N90)</f>
        <v>4261.861244979919</v>
      </c>
      <c r="O22" s="109">
        <f>SUM(O23:O90)</f>
        <v>3964.5220883534143</v>
      </c>
      <c r="P22" s="71"/>
      <c r="Q22" s="109">
        <f>SUM(Q23:Q90)</f>
        <v>617.454166666667</v>
      </c>
      <c r="R22" s="110" t="s">
        <v>128</v>
      </c>
      <c r="S22" s="75" t="s">
        <v>67</v>
      </c>
    </row>
    <row r="23" spans="2:18" ht="12.75">
      <c r="B23" s="71"/>
      <c r="C23" s="71"/>
      <c r="D23" s="71"/>
      <c r="E23" s="71"/>
      <c r="F23" s="71"/>
      <c r="G23" s="71"/>
      <c r="H23" s="71"/>
      <c r="I23" s="71"/>
      <c r="J23" s="71"/>
      <c r="K23" s="71"/>
      <c r="L23" s="87"/>
      <c r="M23" s="71"/>
      <c r="N23" s="71"/>
      <c r="O23" s="71"/>
      <c r="P23" s="86">
        <f>'Hki-2012'!$P$23</f>
        <v>15</v>
      </c>
      <c r="Q23" s="71"/>
      <c r="R23" s="71"/>
    </row>
    <row r="24" spans="1:19" ht="12.75">
      <c r="A24" s="73">
        <v>-28.5</v>
      </c>
      <c r="B24" s="93">
        <v>0</v>
      </c>
      <c r="C24" s="82">
        <f>'Hki-2012'!$C$24</f>
        <v>21</v>
      </c>
      <c r="D24" s="86">
        <f>'Hki-2012'!D24</f>
        <v>5</v>
      </c>
      <c r="E24" s="86">
        <f>'Hki-2012'!$E$24</f>
        <v>21</v>
      </c>
      <c r="F24" s="91">
        <f aca="true" t="shared" si="0" ref="F24:F64">E24-K24*(E24-A24)</f>
        <v>-17.168674698795186</v>
      </c>
      <c r="G24" s="98">
        <f aca="true" t="shared" si="1" ref="G24:G64">MAX(F24,D24,S24)</f>
        <v>5</v>
      </c>
      <c r="H24" s="91">
        <f aca="true" t="shared" si="2" ref="H24:H64">A24+J24*(E24-A24)</f>
        <v>-11.3</v>
      </c>
      <c r="I24" s="96">
        <f>'Hki-2012'!$I$24</f>
        <v>0.930232558139535</v>
      </c>
      <c r="J24" s="87">
        <f aca="true" t="shared" si="3" ref="J24:J64">L24/I24</f>
        <v>0.3474747474747475</v>
      </c>
      <c r="K24" s="96">
        <f>'Hki-2012'!$K$24</f>
        <v>0.7710843373493977</v>
      </c>
      <c r="L24" s="87">
        <f aca="true" t="shared" si="4" ref="L24:L64">(E24-G24)/(E24-A24)</f>
        <v>0.32323232323232326</v>
      </c>
      <c r="M24" s="94">
        <f aca="true" t="shared" si="5" ref="M24:M64">MAX((B24-B23)/100*365*(E24-A24),0)</f>
        <v>0</v>
      </c>
      <c r="N24" s="94">
        <f aca="true" t="shared" si="6" ref="N24:N64">MAX((B24-B23)/100*365*(H24-A24),0)</f>
        <v>0</v>
      </c>
      <c r="O24" s="94">
        <f aca="true" t="shared" si="7" ref="O24:O64">MAX((B24-B23)/100*365*(E24-G24),0)</f>
        <v>0</v>
      </c>
      <c r="P24" s="91">
        <f aca="true" t="shared" si="8" ref="P24:P64">MAX(0,P$23-H24)</f>
        <v>26.3</v>
      </c>
      <c r="Q24" s="98">
        <f aca="true" t="shared" si="9" ref="Q24:Q64">(B24-B23)/100*365*P24</f>
        <v>0</v>
      </c>
      <c r="R24" s="100">
        <f aca="true" t="shared" si="10" ref="R24:R64">MAX((C24-A24)/(E24-A24),0)</f>
        <v>1</v>
      </c>
      <c r="S24" s="73">
        <f aca="true" t="shared" si="11" ref="S24:S64">E24-R24*I24*(E24-A24)</f>
        <v>-25.04651162790698</v>
      </c>
    </row>
    <row r="25" spans="1:19" ht="12.75">
      <c r="A25" s="73">
        <v>-27.5</v>
      </c>
      <c r="B25" s="93">
        <v>0.091324200913242</v>
      </c>
      <c r="C25" s="71">
        <f aca="true" t="shared" si="12" ref="C25:C64">C24</f>
        <v>21</v>
      </c>
      <c r="D25" s="71">
        <f aca="true" t="shared" si="13" ref="D25:D64">D24</f>
        <v>5</v>
      </c>
      <c r="E25" s="71">
        <f aca="true" t="shared" si="14" ref="E25:E64">E24</f>
        <v>21</v>
      </c>
      <c r="F25" s="98">
        <f t="shared" si="0"/>
        <v>-16.397590361445793</v>
      </c>
      <c r="G25" s="98">
        <f t="shared" si="1"/>
        <v>5</v>
      </c>
      <c r="H25" s="98">
        <f t="shared" si="2"/>
        <v>-10.3</v>
      </c>
      <c r="I25" s="99">
        <f aca="true" t="shared" si="15" ref="I25:I64">I24</f>
        <v>0.930232558139535</v>
      </c>
      <c r="J25" s="99">
        <f t="shared" si="3"/>
        <v>0.3546391752577319</v>
      </c>
      <c r="K25" s="99">
        <f aca="true" t="shared" si="16" ref="K25:K64">K24</f>
        <v>0.7710843373493977</v>
      </c>
      <c r="L25" s="87">
        <f t="shared" si="4"/>
        <v>0.32989690721649484</v>
      </c>
      <c r="M25" s="94">
        <f t="shared" si="5"/>
        <v>16.166666666666664</v>
      </c>
      <c r="N25" s="94">
        <f t="shared" si="6"/>
        <v>5.7333333333333325</v>
      </c>
      <c r="O25" s="94">
        <f t="shared" si="7"/>
        <v>5.333333333333333</v>
      </c>
      <c r="P25" s="91">
        <f t="shared" si="8"/>
        <v>25.3</v>
      </c>
      <c r="Q25" s="98">
        <f t="shared" si="9"/>
        <v>8.433333333333334</v>
      </c>
      <c r="R25" s="100">
        <f t="shared" si="10"/>
        <v>1</v>
      </c>
      <c r="S25" s="73">
        <f t="shared" si="11"/>
        <v>-24.116279069767444</v>
      </c>
    </row>
    <row r="26" spans="1:19" ht="12.75">
      <c r="A26" s="73">
        <v>-26.5</v>
      </c>
      <c r="B26" s="93">
        <v>0.182648401826484</v>
      </c>
      <c r="C26" s="71">
        <f t="shared" si="12"/>
        <v>21</v>
      </c>
      <c r="D26" s="71">
        <f t="shared" si="13"/>
        <v>5</v>
      </c>
      <c r="E26" s="71">
        <f t="shared" si="14"/>
        <v>21</v>
      </c>
      <c r="F26" s="98">
        <f t="shared" si="0"/>
        <v>-15.626506024096393</v>
      </c>
      <c r="G26" s="98">
        <f t="shared" si="1"/>
        <v>5</v>
      </c>
      <c r="H26" s="98">
        <f t="shared" si="2"/>
        <v>-9.3</v>
      </c>
      <c r="I26" s="99">
        <f t="shared" si="15"/>
        <v>0.930232558139535</v>
      </c>
      <c r="J26" s="99">
        <f t="shared" si="3"/>
        <v>0.3621052631578947</v>
      </c>
      <c r="K26" s="99">
        <f t="shared" si="16"/>
        <v>0.7710843373493977</v>
      </c>
      <c r="L26" s="87">
        <f t="shared" si="4"/>
        <v>0.3368421052631579</v>
      </c>
      <c r="M26" s="94">
        <f t="shared" si="5"/>
        <v>15.833333333333332</v>
      </c>
      <c r="N26" s="94">
        <f t="shared" si="6"/>
        <v>5.7333333333333325</v>
      </c>
      <c r="O26" s="94">
        <f t="shared" si="7"/>
        <v>5.333333333333333</v>
      </c>
      <c r="P26" s="91">
        <f t="shared" si="8"/>
        <v>24.3</v>
      </c>
      <c r="Q26" s="98">
        <f t="shared" si="9"/>
        <v>8.1</v>
      </c>
      <c r="R26" s="100">
        <f t="shared" si="10"/>
        <v>1</v>
      </c>
      <c r="S26" s="73">
        <f t="shared" si="11"/>
        <v>-23.186046511627914</v>
      </c>
    </row>
    <row r="27" spans="1:19" ht="12.75">
      <c r="A27" s="73">
        <v>-25.5</v>
      </c>
      <c r="B27" s="93">
        <v>0.2397260273972603</v>
      </c>
      <c r="C27" s="71">
        <f t="shared" si="12"/>
        <v>21</v>
      </c>
      <c r="D27" s="71">
        <f t="shared" si="13"/>
        <v>5</v>
      </c>
      <c r="E27" s="71">
        <f t="shared" si="14"/>
        <v>21</v>
      </c>
      <c r="F27" s="98">
        <f t="shared" si="0"/>
        <v>-14.855421686746993</v>
      </c>
      <c r="G27" s="98">
        <f t="shared" si="1"/>
        <v>5</v>
      </c>
      <c r="H27" s="98">
        <f t="shared" si="2"/>
        <v>-8.3</v>
      </c>
      <c r="I27" s="99">
        <f t="shared" si="15"/>
        <v>0.930232558139535</v>
      </c>
      <c r="J27" s="99">
        <f t="shared" si="3"/>
        <v>0.36989247311827955</v>
      </c>
      <c r="K27" s="99">
        <f t="shared" si="16"/>
        <v>0.7710843373493977</v>
      </c>
      <c r="L27" s="87">
        <f t="shared" si="4"/>
        <v>0.34408602150537637</v>
      </c>
      <c r="M27" s="94">
        <f t="shared" si="5"/>
        <v>9.687500000000005</v>
      </c>
      <c r="N27" s="94">
        <f t="shared" si="6"/>
        <v>3.5833333333333353</v>
      </c>
      <c r="O27" s="94">
        <f t="shared" si="7"/>
        <v>3.3333333333333353</v>
      </c>
      <c r="P27" s="91">
        <f t="shared" si="8"/>
        <v>23.3</v>
      </c>
      <c r="Q27" s="98">
        <f t="shared" si="9"/>
        <v>4.85416666666667</v>
      </c>
      <c r="R27" s="100">
        <f t="shared" si="10"/>
        <v>1</v>
      </c>
      <c r="S27" s="73">
        <f t="shared" si="11"/>
        <v>-22.255813953488378</v>
      </c>
    </row>
    <row r="28" spans="1:19" ht="12.75">
      <c r="A28" s="73">
        <v>-24.5</v>
      </c>
      <c r="B28" s="93">
        <v>0.3995433789954338</v>
      </c>
      <c r="C28" s="71">
        <f t="shared" si="12"/>
        <v>21</v>
      </c>
      <c r="D28" s="71">
        <f t="shared" si="13"/>
        <v>5</v>
      </c>
      <c r="E28" s="71">
        <f t="shared" si="14"/>
        <v>21</v>
      </c>
      <c r="F28" s="98">
        <f t="shared" si="0"/>
        <v>-14.0843373493976</v>
      </c>
      <c r="G28" s="98">
        <f t="shared" si="1"/>
        <v>5</v>
      </c>
      <c r="H28" s="98">
        <f t="shared" si="2"/>
        <v>-7.300000000000001</v>
      </c>
      <c r="I28" s="99">
        <f t="shared" si="15"/>
        <v>0.930232558139535</v>
      </c>
      <c r="J28" s="99">
        <f t="shared" si="3"/>
        <v>0.378021978021978</v>
      </c>
      <c r="K28" s="99">
        <f t="shared" si="16"/>
        <v>0.7710843373493977</v>
      </c>
      <c r="L28" s="87">
        <f t="shared" si="4"/>
        <v>0.3516483516483517</v>
      </c>
      <c r="M28" s="94">
        <f t="shared" si="5"/>
        <v>26.541666666666664</v>
      </c>
      <c r="N28" s="94">
        <f t="shared" si="6"/>
        <v>10.033333333333331</v>
      </c>
      <c r="O28" s="94">
        <f t="shared" si="7"/>
        <v>9.333333333333332</v>
      </c>
      <c r="P28" s="91">
        <f t="shared" si="8"/>
        <v>22.3</v>
      </c>
      <c r="Q28" s="98">
        <f t="shared" si="9"/>
        <v>13.008333333333333</v>
      </c>
      <c r="R28" s="100">
        <f t="shared" si="10"/>
        <v>1</v>
      </c>
      <c r="S28" s="73">
        <f t="shared" si="11"/>
        <v>-21.32558139534884</v>
      </c>
    </row>
    <row r="29" spans="1:19" ht="12.75">
      <c r="A29" s="73">
        <v>-23.5</v>
      </c>
      <c r="B29" s="93">
        <v>0.5707762557077625</v>
      </c>
      <c r="C29" s="71">
        <f t="shared" si="12"/>
        <v>21</v>
      </c>
      <c r="D29" s="71">
        <f t="shared" si="13"/>
        <v>5</v>
      </c>
      <c r="E29" s="71">
        <f t="shared" si="14"/>
        <v>21</v>
      </c>
      <c r="F29" s="98">
        <f t="shared" si="0"/>
        <v>-13.3132530120482</v>
      </c>
      <c r="G29" s="98">
        <f t="shared" si="1"/>
        <v>5</v>
      </c>
      <c r="H29" s="98">
        <f t="shared" si="2"/>
        <v>-6.300000000000001</v>
      </c>
      <c r="I29" s="99">
        <f t="shared" si="15"/>
        <v>0.930232558139535</v>
      </c>
      <c r="J29" s="99">
        <f t="shared" si="3"/>
        <v>0.3865168539325842</v>
      </c>
      <c r="K29" s="99">
        <f t="shared" si="16"/>
        <v>0.7710843373493977</v>
      </c>
      <c r="L29" s="87">
        <f t="shared" si="4"/>
        <v>0.3595505617977528</v>
      </c>
      <c r="M29" s="94">
        <f t="shared" si="5"/>
        <v>27.812499999999986</v>
      </c>
      <c r="N29" s="94">
        <f t="shared" si="6"/>
        <v>10.749999999999995</v>
      </c>
      <c r="O29" s="94">
        <f t="shared" si="7"/>
        <v>9.999999999999995</v>
      </c>
      <c r="P29" s="91">
        <f t="shared" si="8"/>
        <v>21.3</v>
      </c>
      <c r="Q29" s="98">
        <f t="shared" si="9"/>
        <v>13.312499999999993</v>
      </c>
      <c r="R29" s="100">
        <f t="shared" si="10"/>
        <v>1</v>
      </c>
      <c r="S29" s="73">
        <f t="shared" si="11"/>
        <v>-20.395348837209305</v>
      </c>
    </row>
    <row r="30" spans="1:19" ht="12.75">
      <c r="A30" s="73">
        <v>-22.5</v>
      </c>
      <c r="B30" s="93">
        <v>0.7077625570776256</v>
      </c>
      <c r="C30" s="73">
        <f t="shared" si="12"/>
        <v>21</v>
      </c>
      <c r="D30" s="73">
        <f t="shared" si="13"/>
        <v>5</v>
      </c>
      <c r="E30" s="73">
        <f t="shared" si="14"/>
        <v>21</v>
      </c>
      <c r="F30" s="101">
        <f t="shared" si="0"/>
        <v>-12.5421686746988</v>
      </c>
      <c r="G30" s="101">
        <f t="shared" si="1"/>
        <v>5</v>
      </c>
      <c r="H30" s="101">
        <f t="shared" si="2"/>
        <v>-5.300000000000004</v>
      </c>
      <c r="I30" s="80">
        <f t="shared" si="15"/>
        <v>0.930232558139535</v>
      </c>
      <c r="J30" s="80">
        <f t="shared" si="3"/>
        <v>0.39540229885057465</v>
      </c>
      <c r="K30" s="80">
        <f t="shared" si="16"/>
        <v>0.7710843373493977</v>
      </c>
      <c r="L30" s="102">
        <f t="shared" si="4"/>
        <v>0.367816091954023</v>
      </c>
      <c r="M30" s="103">
        <f t="shared" si="5"/>
        <v>21.750000000000018</v>
      </c>
      <c r="N30" s="103">
        <f t="shared" si="6"/>
        <v>8.600000000000005</v>
      </c>
      <c r="O30" s="103">
        <f t="shared" si="7"/>
        <v>8.000000000000007</v>
      </c>
      <c r="P30" s="108">
        <f t="shared" si="8"/>
        <v>20.300000000000004</v>
      </c>
      <c r="Q30" s="101">
        <f t="shared" si="9"/>
        <v>10.150000000000011</v>
      </c>
      <c r="R30" s="104">
        <f t="shared" si="10"/>
        <v>1</v>
      </c>
      <c r="S30" s="73">
        <f t="shared" si="11"/>
        <v>-19.46511627906977</v>
      </c>
    </row>
    <row r="31" spans="1:19" ht="12.75">
      <c r="A31" s="73">
        <v>-21.5</v>
      </c>
      <c r="B31" s="93">
        <v>0.8904109589041096</v>
      </c>
      <c r="C31" s="73">
        <f t="shared" si="12"/>
        <v>21</v>
      </c>
      <c r="D31" s="73">
        <f t="shared" si="13"/>
        <v>5</v>
      </c>
      <c r="E31" s="73">
        <f t="shared" si="14"/>
        <v>21</v>
      </c>
      <c r="F31" s="101">
        <f t="shared" si="0"/>
        <v>-11.771084337349407</v>
      </c>
      <c r="G31" s="101">
        <f t="shared" si="1"/>
        <v>5</v>
      </c>
      <c r="H31" s="101">
        <f t="shared" si="2"/>
        <v>-4.300000000000001</v>
      </c>
      <c r="I31" s="80">
        <f t="shared" si="15"/>
        <v>0.930232558139535</v>
      </c>
      <c r="J31" s="80">
        <f t="shared" si="3"/>
        <v>0.40470588235294114</v>
      </c>
      <c r="K31" s="80">
        <f t="shared" si="16"/>
        <v>0.7710843373493977</v>
      </c>
      <c r="L31" s="102">
        <f t="shared" si="4"/>
        <v>0.3764705882352941</v>
      </c>
      <c r="M31" s="103">
        <f t="shared" si="5"/>
        <v>28.333333333333332</v>
      </c>
      <c r="N31" s="103">
        <f t="shared" si="6"/>
        <v>11.466666666666665</v>
      </c>
      <c r="O31" s="103">
        <f t="shared" si="7"/>
        <v>10.666666666666666</v>
      </c>
      <c r="P31" s="108">
        <f t="shared" si="8"/>
        <v>19.3</v>
      </c>
      <c r="Q31" s="101">
        <f t="shared" si="9"/>
        <v>12.866666666666667</v>
      </c>
      <c r="R31" s="104">
        <f t="shared" si="10"/>
        <v>1</v>
      </c>
      <c r="S31" s="73">
        <f t="shared" si="11"/>
        <v>-18.53488372093024</v>
      </c>
    </row>
    <row r="32" spans="1:19" ht="12.75">
      <c r="A32" s="73">
        <v>-20.5</v>
      </c>
      <c r="B32" s="93">
        <v>1.2785388127853883</v>
      </c>
      <c r="C32" s="73">
        <f t="shared" si="12"/>
        <v>21</v>
      </c>
      <c r="D32" s="73">
        <f t="shared" si="13"/>
        <v>5</v>
      </c>
      <c r="E32" s="73">
        <f t="shared" si="14"/>
        <v>21</v>
      </c>
      <c r="F32" s="101">
        <f t="shared" si="0"/>
        <v>-11.000000000000007</v>
      </c>
      <c r="G32" s="101">
        <f t="shared" si="1"/>
        <v>5</v>
      </c>
      <c r="H32" s="101">
        <f t="shared" si="2"/>
        <v>-3.3000000000000007</v>
      </c>
      <c r="I32" s="80">
        <f t="shared" si="15"/>
        <v>0.930232558139535</v>
      </c>
      <c r="J32" s="80">
        <f t="shared" si="3"/>
        <v>0.4144578313253012</v>
      </c>
      <c r="K32" s="80">
        <f t="shared" si="16"/>
        <v>0.7710843373493977</v>
      </c>
      <c r="L32" s="102">
        <f t="shared" si="4"/>
        <v>0.3855421686746988</v>
      </c>
      <c r="M32" s="103">
        <f t="shared" si="5"/>
        <v>58.791666666666686</v>
      </c>
      <c r="N32" s="103">
        <f t="shared" si="6"/>
        <v>24.366666666666674</v>
      </c>
      <c r="O32" s="103">
        <f t="shared" si="7"/>
        <v>22.666666666666675</v>
      </c>
      <c r="P32" s="108">
        <f t="shared" si="8"/>
        <v>18.3</v>
      </c>
      <c r="Q32" s="101">
        <f t="shared" si="9"/>
        <v>25.92500000000001</v>
      </c>
      <c r="R32" s="104">
        <f t="shared" si="10"/>
        <v>1</v>
      </c>
      <c r="S32" s="73">
        <f t="shared" si="11"/>
        <v>-17.604651162790702</v>
      </c>
    </row>
    <row r="33" spans="1:19" ht="12.75">
      <c r="A33" s="73">
        <v>-19.5</v>
      </c>
      <c r="B33" s="93">
        <v>2.054794520547945</v>
      </c>
      <c r="C33" s="73">
        <f t="shared" si="12"/>
        <v>21</v>
      </c>
      <c r="D33" s="73">
        <f t="shared" si="13"/>
        <v>5</v>
      </c>
      <c r="E33" s="73">
        <f t="shared" si="14"/>
        <v>21</v>
      </c>
      <c r="F33" s="101">
        <f t="shared" si="0"/>
        <v>-10.228915662650607</v>
      </c>
      <c r="G33" s="101">
        <f t="shared" si="1"/>
        <v>5</v>
      </c>
      <c r="H33" s="101">
        <f t="shared" si="2"/>
        <v>-2.3000000000000043</v>
      </c>
      <c r="I33" s="80">
        <f t="shared" si="15"/>
        <v>0.930232558139535</v>
      </c>
      <c r="J33" s="80">
        <f t="shared" si="3"/>
        <v>0.42469135802469127</v>
      </c>
      <c r="K33" s="80">
        <f t="shared" si="16"/>
        <v>0.7710843373493977</v>
      </c>
      <c r="L33" s="102">
        <f t="shared" si="4"/>
        <v>0.3950617283950617</v>
      </c>
      <c r="M33" s="103">
        <f t="shared" si="5"/>
        <v>114.74999999999996</v>
      </c>
      <c r="N33" s="103">
        <f t="shared" si="6"/>
        <v>48.7333333333333</v>
      </c>
      <c r="O33" s="103">
        <f t="shared" si="7"/>
        <v>45.333333333333314</v>
      </c>
      <c r="P33" s="108">
        <f t="shared" si="8"/>
        <v>17.300000000000004</v>
      </c>
      <c r="Q33" s="101">
        <f t="shared" si="9"/>
        <v>49.01666666666666</v>
      </c>
      <c r="R33" s="104">
        <f t="shared" si="10"/>
        <v>1</v>
      </c>
      <c r="S33" s="73">
        <f t="shared" si="11"/>
        <v>-16.674418604651166</v>
      </c>
    </row>
    <row r="34" spans="1:19" ht="12.75">
      <c r="A34" s="73">
        <v>-18.5</v>
      </c>
      <c r="B34" s="93">
        <v>2.7511415525114153</v>
      </c>
      <c r="C34" s="73">
        <f t="shared" si="12"/>
        <v>21</v>
      </c>
      <c r="D34" s="73">
        <f t="shared" si="13"/>
        <v>5</v>
      </c>
      <c r="E34" s="73">
        <f t="shared" si="14"/>
        <v>21</v>
      </c>
      <c r="F34" s="101">
        <f t="shared" si="0"/>
        <v>-9.45783132530121</v>
      </c>
      <c r="G34" s="101">
        <f t="shared" si="1"/>
        <v>5</v>
      </c>
      <c r="H34" s="101">
        <f t="shared" si="2"/>
        <v>-1.3000000000000043</v>
      </c>
      <c r="I34" s="80">
        <f t="shared" si="15"/>
        <v>0.930232558139535</v>
      </c>
      <c r="J34" s="80">
        <f t="shared" si="3"/>
        <v>0.4354430379746835</v>
      </c>
      <c r="K34" s="80">
        <f t="shared" si="16"/>
        <v>0.7710843373493977</v>
      </c>
      <c r="L34" s="102">
        <f t="shared" si="4"/>
        <v>0.4050632911392405</v>
      </c>
      <c r="M34" s="103">
        <f t="shared" si="5"/>
        <v>100.39583333333334</v>
      </c>
      <c r="N34" s="103">
        <f t="shared" si="6"/>
        <v>43.71666666666666</v>
      </c>
      <c r="O34" s="103">
        <f t="shared" si="7"/>
        <v>40.66666666666667</v>
      </c>
      <c r="P34" s="108">
        <f t="shared" si="8"/>
        <v>16.300000000000004</v>
      </c>
      <c r="Q34" s="101">
        <f t="shared" si="9"/>
        <v>41.42916666666668</v>
      </c>
      <c r="R34" s="104">
        <f t="shared" si="10"/>
        <v>1</v>
      </c>
      <c r="S34" s="73">
        <f t="shared" si="11"/>
        <v>-15.74418604651163</v>
      </c>
    </row>
    <row r="35" spans="1:19" ht="12.75">
      <c r="A35" s="73">
        <v>-17.5</v>
      </c>
      <c r="B35" s="93">
        <v>3.2305936073059356</v>
      </c>
      <c r="C35" s="73">
        <f t="shared" si="12"/>
        <v>21</v>
      </c>
      <c r="D35" s="73">
        <f t="shared" si="13"/>
        <v>5</v>
      </c>
      <c r="E35" s="73">
        <f t="shared" si="14"/>
        <v>21</v>
      </c>
      <c r="F35" s="101">
        <f t="shared" si="0"/>
        <v>-8.686746987951814</v>
      </c>
      <c r="G35" s="101">
        <f t="shared" si="1"/>
        <v>5</v>
      </c>
      <c r="H35" s="101">
        <f t="shared" si="2"/>
        <v>-0.3000000000000007</v>
      </c>
      <c r="I35" s="80">
        <f t="shared" si="15"/>
        <v>0.930232558139535</v>
      </c>
      <c r="J35" s="80">
        <f t="shared" si="3"/>
        <v>0.44675324675324674</v>
      </c>
      <c r="K35" s="80">
        <f t="shared" si="16"/>
        <v>0.7710843373493977</v>
      </c>
      <c r="L35" s="102">
        <f t="shared" si="4"/>
        <v>0.4155844155844156</v>
      </c>
      <c r="M35" s="103">
        <f t="shared" si="5"/>
        <v>67.37499999999996</v>
      </c>
      <c r="N35" s="103">
        <f t="shared" si="6"/>
        <v>30.09999999999998</v>
      </c>
      <c r="O35" s="103">
        <f t="shared" si="7"/>
        <v>27.999999999999982</v>
      </c>
      <c r="P35" s="108">
        <f t="shared" si="8"/>
        <v>15.3</v>
      </c>
      <c r="Q35" s="101">
        <f t="shared" si="9"/>
        <v>26.774999999999984</v>
      </c>
      <c r="R35" s="104">
        <f t="shared" si="10"/>
        <v>1</v>
      </c>
      <c r="S35" s="73">
        <f t="shared" si="11"/>
        <v>-14.8139534883721</v>
      </c>
    </row>
    <row r="36" spans="1:19" ht="12.75">
      <c r="A36" s="73">
        <v>-16.5</v>
      </c>
      <c r="B36" s="93">
        <v>3.573059360730593</v>
      </c>
      <c r="C36" s="73">
        <f t="shared" si="12"/>
        <v>21</v>
      </c>
      <c r="D36" s="73">
        <f t="shared" si="13"/>
        <v>5</v>
      </c>
      <c r="E36" s="73">
        <f t="shared" si="14"/>
        <v>21</v>
      </c>
      <c r="F36" s="101">
        <f t="shared" si="0"/>
        <v>-7.915662650602414</v>
      </c>
      <c r="G36" s="101">
        <f t="shared" si="1"/>
        <v>5</v>
      </c>
      <c r="H36" s="101">
        <f t="shared" si="2"/>
        <v>0.6999999999999993</v>
      </c>
      <c r="I36" s="80">
        <f t="shared" si="15"/>
        <v>0.930232558139535</v>
      </c>
      <c r="J36" s="80">
        <f t="shared" si="3"/>
        <v>0.45866666666666667</v>
      </c>
      <c r="K36" s="80">
        <f t="shared" si="16"/>
        <v>0.7710843373493977</v>
      </c>
      <c r="L36" s="102">
        <f t="shared" si="4"/>
        <v>0.4266666666666667</v>
      </c>
      <c r="M36" s="103">
        <f t="shared" si="5"/>
        <v>46.875</v>
      </c>
      <c r="N36" s="103">
        <f t="shared" si="6"/>
        <v>21.5</v>
      </c>
      <c r="O36" s="103">
        <f t="shared" si="7"/>
        <v>20</v>
      </c>
      <c r="P36" s="108">
        <f t="shared" si="8"/>
        <v>14.3</v>
      </c>
      <c r="Q36" s="101">
        <f t="shared" si="9"/>
        <v>17.875</v>
      </c>
      <c r="R36" s="104">
        <f t="shared" si="10"/>
        <v>1</v>
      </c>
      <c r="S36" s="73">
        <f t="shared" si="11"/>
        <v>-13.883720930232563</v>
      </c>
    </row>
    <row r="37" spans="1:19" ht="12.75">
      <c r="A37" s="73">
        <v>-15.5</v>
      </c>
      <c r="B37" s="93">
        <v>4.1438356164383565</v>
      </c>
      <c r="C37" s="73">
        <f t="shared" si="12"/>
        <v>21</v>
      </c>
      <c r="D37" s="73">
        <f t="shared" si="13"/>
        <v>5</v>
      </c>
      <c r="E37" s="73">
        <f t="shared" si="14"/>
        <v>21</v>
      </c>
      <c r="F37" s="101">
        <f t="shared" si="0"/>
        <v>-7.144578313253017</v>
      </c>
      <c r="G37" s="101">
        <f t="shared" si="1"/>
        <v>5</v>
      </c>
      <c r="H37" s="101">
        <f t="shared" si="2"/>
        <v>1.6999999999999993</v>
      </c>
      <c r="I37" s="80">
        <f t="shared" si="15"/>
        <v>0.930232558139535</v>
      </c>
      <c r="J37" s="80">
        <f t="shared" si="3"/>
        <v>0.4712328767123287</v>
      </c>
      <c r="K37" s="80">
        <f t="shared" si="16"/>
        <v>0.7710843373493977</v>
      </c>
      <c r="L37" s="102">
        <f t="shared" si="4"/>
        <v>0.4383561643835616</v>
      </c>
      <c r="M37" s="103">
        <f t="shared" si="5"/>
        <v>76.04166666666679</v>
      </c>
      <c r="N37" s="103">
        <f t="shared" si="6"/>
        <v>35.833333333333385</v>
      </c>
      <c r="O37" s="103">
        <f t="shared" si="7"/>
        <v>33.333333333333385</v>
      </c>
      <c r="P37" s="108">
        <f t="shared" si="8"/>
        <v>13.3</v>
      </c>
      <c r="Q37" s="101">
        <f t="shared" si="9"/>
        <v>27.70833333333338</v>
      </c>
      <c r="R37" s="104">
        <f t="shared" si="10"/>
        <v>1</v>
      </c>
      <c r="S37" s="73">
        <f t="shared" si="11"/>
        <v>-12.953488372093027</v>
      </c>
    </row>
    <row r="38" spans="1:19" ht="12.75">
      <c r="A38" s="73">
        <v>-14.5</v>
      </c>
      <c r="B38" s="93">
        <v>4.623287671232877</v>
      </c>
      <c r="C38" s="73">
        <f t="shared" si="12"/>
        <v>21</v>
      </c>
      <c r="D38" s="73">
        <f t="shared" si="13"/>
        <v>5</v>
      </c>
      <c r="E38" s="73">
        <f t="shared" si="14"/>
        <v>21</v>
      </c>
      <c r="F38" s="101">
        <f t="shared" si="0"/>
        <v>-6.373493975903621</v>
      </c>
      <c r="G38" s="101">
        <f t="shared" si="1"/>
        <v>5</v>
      </c>
      <c r="H38" s="101">
        <f t="shared" si="2"/>
        <v>2.6999999999999993</v>
      </c>
      <c r="I38" s="80">
        <f t="shared" si="15"/>
        <v>0.930232558139535</v>
      </c>
      <c r="J38" s="80">
        <f t="shared" si="3"/>
        <v>0.4845070422535211</v>
      </c>
      <c r="K38" s="80">
        <f t="shared" si="16"/>
        <v>0.7710843373493977</v>
      </c>
      <c r="L38" s="102">
        <f t="shared" si="4"/>
        <v>0.4507042253521127</v>
      </c>
      <c r="M38" s="103">
        <f t="shared" si="5"/>
        <v>62.12499999999996</v>
      </c>
      <c r="N38" s="103">
        <f t="shared" si="6"/>
        <v>30.09999999999998</v>
      </c>
      <c r="O38" s="103">
        <f t="shared" si="7"/>
        <v>27.999999999999982</v>
      </c>
      <c r="P38" s="108">
        <f t="shared" si="8"/>
        <v>12.3</v>
      </c>
      <c r="Q38" s="101">
        <f t="shared" si="9"/>
        <v>21.524999999999988</v>
      </c>
      <c r="R38" s="104">
        <f t="shared" si="10"/>
        <v>1</v>
      </c>
      <c r="S38" s="73">
        <f t="shared" si="11"/>
        <v>-12.02325581395349</v>
      </c>
    </row>
    <row r="39" spans="1:19" ht="12.75">
      <c r="A39" s="73">
        <v>-13.5</v>
      </c>
      <c r="B39" s="93">
        <v>5.045662100456621</v>
      </c>
      <c r="C39" s="73">
        <f t="shared" si="12"/>
        <v>21</v>
      </c>
      <c r="D39" s="73">
        <f t="shared" si="13"/>
        <v>5</v>
      </c>
      <c r="E39" s="73">
        <f t="shared" si="14"/>
        <v>21</v>
      </c>
      <c r="F39" s="101">
        <f t="shared" si="0"/>
        <v>-5.602409638554221</v>
      </c>
      <c r="G39" s="101">
        <f t="shared" si="1"/>
        <v>5</v>
      </c>
      <c r="H39" s="101">
        <f t="shared" si="2"/>
        <v>3.6999999999999993</v>
      </c>
      <c r="I39" s="80">
        <f t="shared" si="15"/>
        <v>0.930232558139535</v>
      </c>
      <c r="J39" s="80">
        <f t="shared" si="3"/>
        <v>0.49855072463768113</v>
      </c>
      <c r="K39" s="80">
        <f t="shared" si="16"/>
        <v>0.7710843373493977</v>
      </c>
      <c r="L39" s="102">
        <f t="shared" si="4"/>
        <v>0.463768115942029</v>
      </c>
      <c r="M39" s="103">
        <f t="shared" si="5"/>
        <v>53.18749999999998</v>
      </c>
      <c r="N39" s="103">
        <f t="shared" si="6"/>
        <v>26.516666666666655</v>
      </c>
      <c r="O39" s="103">
        <f t="shared" si="7"/>
        <v>24.666666666666657</v>
      </c>
      <c r="P39" s="108">
        <f t="shared" si="8"/>
        <v>11.3</v>
      </c>
      <c r="Q39" s="101">
        <f t="shared" si="9"/>
        <v>17.420833333333327</v>
      </c>
      <c r="R39" s="104">
        <f t="shared" si="10"/>
        <v>1</v>
      </c>
      <c r="S39" s="73">
        <f t="shared" si="11"/>
        <v>-11.093023255813954</v>
      </c>
    </row>
    <row r="40" spans="1:19" ht="12.75">
      <c r="A40" s="73">
        <v>-12.5</v>
      </c>
      <c r="B40" s="93">
        <v>5.5479452054794525</v>
      </c>
      <c r="C40" s="73">
        <f t="shared" si="12"/>
        <v>21</v>
      </c>
      <c r="D40" s="73">
        <f t="shared" si="13"/>
        <v>5</v>
      </c>
      <c r="E40" s="73">
        <f t="shared" si="14"/>
        <v>21</v>
      </c>
      <c r="F40" s="101">
        <f t="shared" si="0"/>
        <v>-4.831325301204824</v>
      </c>
      <c r="G40" s="101">
        <f t="shared" si="1"/>
        <v>5</v>
      </c>
      <c r="H40" s="101">
        <f t="shared" si="2"/>
        <v>4.699999999999999</v>
      </c>
      <c r="I40" s="80">
        <f t="shared" si="15"/>
        <v>0.930232558139535</v>
      </c>
      <c r="J40" s="80">
        <f t="shared" si="3"/>
        <v>0.5134328358208955</v>
      </c>
      <c r="K40" s="80">
        <f t="shared" si="16"/>
        <v>0.7710843373493977</v>
      </c>
      <c r="L40" s="102">
        <f t="shared" si="4"/>
        <v>0.47761194029850745</v>
      </c>
      <c r="M40" s="103">
        <f t="shared" si="5"/>
        <v>61.41666666666673</v>
      </c>
      <c r="N40" s="103">
        <f t="shared" si="6"/>
        <v>31.533333333333363</v>
      </c>
      <c r="O40" s="103">
        <f t="shared" si="7"/>
        <v>29.333333333333364</v>
      </c>
      <c r="P40" s="108">
        <f t="shared" si="8"/>
        <v>10.3</v>
      </c>
      <c r="Q40" s="101">
        <f t="shared" si="9"/>
        <v>18.883333333333354</v>
      </c>
      <c r="R40" s="104">
        <f t="shared" si="10"/>
        <v>1</v>
      </c>
      <c r="S40" s="73">
        <f t="shared" si="11"/>
        <v>-10.16279069767442</v>
      </c>
    </row>
    <row r="41" spans="1:19" ht="12.75">
      <c r="A41" s="73">
        <v>-11.5</v>
      </c>
      <c r="B41" s="93">
        <v>6.210045662100456</v>
      </c>
      <c r="C41" s="73">
        <f t="shared" si="12"/>
        <v>21</v>
      </c>
      <c r="D41" s="73">
        <f t="shared" si="13"/>
        <v>5</v>
      </c>
      <c r="E41" s="73">
        <f t="shared" si="14"/>
        <v>21</v>
      </c>
      <c r="F41" s="101">
        <f t="shared" si="0"/>
        <v>-4.060240963855428</v>
      </c>
      <c r="G41" s="101">
        <f t="shared" si="1"/>
        <v>5</v>
      </c>
      <c r="H41" s="101">
        <f t="shared" si="2"/>
        <v>5.699999999999999</v>
      </c>
      <c r="I41" s="80">
        <f t="shared" si="15"/>
        <v>0.930232558139535</v>
      </c>
      <c r="J41" s="80">
        <f t="shared" si="3"/>
        <v>0.5292307692307692</v>
      </c>
      <c r="K41" s="80">
        <f t="shared" si="16"/>
        <v>0.7710843373493977</v>
      </c>
      <c r="L41" s="102">
        <f t="shared" si="4"/>
        <v>0.49230769230769234</v>
      </c>
      <c r="M41" s="103">
        <f t="shared" si="5"/>
        <v>78.54166666666657</v>
      </c>
      <c r="N41" s="103">
        <f t="shared" si="6"/>
        <v>41.56666666666661</v>
      </c>
      <c r="O41" s="103">
        <f t="shared" si="7"/>
        <v>38.66666666666662</v>
      </c>
      <c r="P41" s="108">
        <f t="shared" si="8"/>
        <v>9.3</v>
      </c>
      <c r="Q41" s="101">
        <f t="shared" si="9"/>
        <v>22.474999999999977</v>
      </c>
      <c r="R41" s="104">
        <f t="shared" si="10"/>
        <v>1</v>
      </c>
      <c r="S41" s="73">
        <f t="shared" si="11"/>
        <v>-9.232558139534888</v>
      </c>
    </row>
    <row r="42" spans="1:19" ht="12.75">
      <c r="A42" s="73">
        <v>-10.5</v>
      </c>
      <c r="B42" s="93">
        <v>7.123287671232877</v>
      </c>
      <c r="C42" s="73">
        <f t="shared" si="12"/>
        <v>21</v>
      </c>
      <c r="D42" s="73">
        <f t="shared" si="13"/>
        <v>5</v>
      </c>
      <c r="E42" s="73">
        <f t="shared" si="14"/>
        <v>21</v>
      </c>
      <c r="F42" s="101">
        <f t="shared" si="0"/>
        <v>-3.2891566265060277</v>
      </c>
      <c r="G42" s="101">
        <f t="shared" si="1"/>
        <v>5</v>
      </c>
      <c r="H42" s="101">
        <f t="shared" si="2"/>
        <v>6.699999999999999</v>
      </c>
      <c r="I42" s="80">
        <f t="shared" si="15"/>
        <v>0.930232558139535</v>
      </c>
      <c r="J42" s="80">
        <f t="shared" si="3"/>
        <v>0.546031746031746</v>
      </c>
      <c r="K42" s="80">
        <f t="shared" si="16"/>
        <v>0.7710843373493977</v>
      </c>
      <c r="L42" s="102">
        <f t="shared" si="4"/>
        <v>0.5079365079365079</v>
      </c>
      <c r="M42" s="103">
        <f t="shared" si="5"/>
        <v>105.00000000000006</v>
      </c>
      <c r="N42" s="103">
        <f t="shared" si="6"/>
        <v>57.333333333333364</v>
      </c>
      <c r="O42" s="103">
        <f t="shared" si="7"/>
        <v>53.333333333333364</v>
      </c>
      <c r="P42" s="108">
        <f t="shared" si="8"/>
        <v>8.3</v>
      </c>
      <c r="Q42" s="101">
        <f t="shared" si="9"/>
        <v>27.666666666666686</v>
      </c>
      <c r="R42" s="104">
        <f t="shared" si="10"/>
        <v>1</v>
      </c>
      <c r="S42" s="73">
        <f t="shared" si="11"/>
        <v>-8.302325581395351</v>
      </c>
    </row>
    <row r="43" spans="1:19" ht="12.75">
      <c r="A43" s="73">
        <v>-9.5</v>
      </c>
      <c r="B43" s="93">
        <v>8.447488584474886</v>
      </c>
      <c r="C43" s="73">
        <f t="shared" si="12"/>
        <v>21</v>
      </c>
      <c r="D43" s="73">
        <f t="shared" si="13"/>
        <v>5</v>
      </c>
      <c r="E43" s="73">
        <f t="shared" si="14"/>
        <v>21</v>
      </c>
      <c r="F43" s="101">
        <f t="shared" si="0"/>
        <v>-2.518072289156631</v>
      </c>
      <c r="G43" s="101">
        <f t="shared" si="1"/>
        <v>5</v>
      </c>
      <c r="H43" s="101">
        <f t="shared" si="2"/>
        <v>7.699999999999999</v>
      </c>
      <c r="I43" s="80">
        <f t="shared" si="15"/>
        <v>0.930232558139535</v>
      </c>
      <c r="J43" s="80">
        <f t="shared" si="3"/>
        <v>0.5639344262295082</v>
      </c>
      <c r="K43" s="80">
        <f t="shared" si="16"/>
        <v>0.7710843373493977</v>
      </c>
      <c r="L43" s="102">
        <f t="shared" si="4"/>
        <v>0.5245901639344263</v>
      </c>
      <c r="M43" s="103">
        <f t="shared" si="5"/>
        <v>147.4166666666667</v>
      </c>
      <c r="N43" s="103">
        <f t="shared" si="6"/>
        <v>83.13333333333335</v>
      </c>
      <c r="O43" s="103">
        <f t="shared" si="7"/>
        <v>77.33333333333336</v>
      </c>
      <c r="P43" s="108">
        <f t="shared" si="8"/>
        <v>7.300000000000001</v>
      </c>
      <c r="Q43" s="101">
        <f t="shared" si="9"/>
        <v>35.283333333333346</v>
      </c>
      <c r="R43" s="104">
        <f t="shared" si="10"/>
        <v>1</v>
      </c>
      <c r="S43" s="73">
        <f t="shared" si="11"/>
        <v>-7.372093023255818</v>
      </c>
    </row>
    <row r="44" spans="1:19" ht="12.75">
      <c r="A44" s="73">
        <v>-8.5</v>
      </c>
      <c r="B44" s="93">
        <v>10.319634703196346</v>
      </c>
      <c r="C44" s="73">
        <f t="shared" si="12"/>
        <v>21</v>
      </c>
      <c r="D44" s="73">
        <f t="shared" si="13"/>
        <v>5</v>
      </c>
      <c r="E44" s="73">
        <f t="shared" si="14"/>
        <v>21</v>
      </c>
      <c r="F44" s="101">
        <f t="shared" si="0"/>
        <v>-1.7469879518072347</v>
      </c>
      <c r="G44" s="101">
        <f t="shared" si="1"/>
        <v>5</v>
      </c>
      <c r="H44" s="101">
        <f t="shared" si="2"/>
        <v>8.699999999999996</v>
      </c>
      <c r="I44" s="80">
        <f t="shared" si="15"/>
        <v>0.930232558139535</v>
      </c>
      <c r="J44" s="80">
        <f t="shared" si="3"/>
        <v>0.583050847457627</v>
      </c>
      <c r="K44" s="80">
        <f t="shared" si="16"/>
        <v>0.7710843373493977</v>
      </c>
      <c r="L44" s="102">
        <f t="shared" si="4"/>
        <v>0.5423728813559322</v>
      </c>
      <c r="M44" s="103">
        <f t="shared" si="5"/>
        <v>201.5833333333332</v>
      </c>
      <c r="N44" s="103">
        <f t="shared" si="6"/>
        <v>117.53333333333322</v>
      </c>
      <c r="O44" s="103">
        <f t="shared" si="7"/>
        <v>109.33333333333326</v>
      </c>
      <c r="P44" s="108">
        <f t="shared" si="8"/>
        <v>6.300000000000004</v>
      </c>
      <c r="Q44" s="101">
        <f t="shared" si="9"/>
        <v>43.05</v>
      </c>
      <c r="R44" s="104">
        <f t="shared" si="10"/>
        <v>1</v>
      </c>
      <c r="S44" s="73">
        <f t="shared" si="11"/>
        <v>-6.441860465116282</v>
      </c>
    </row>
    <row r="45" spans="1:19" ht="12.75">
      <c r="A45" s="73">
        <v>-7.5</v>
      </c>
      <c r="B45" s="93">
        <v>13.059360730593609</v>
      </c>
      <c r="C45" s="73">
        <f t="shared" si="12"/>
        <v>21</v>
      </c>
      <c r="D45" s="73">
        <f t="shared" si="13"/>
        <v>5</v>
      </c>
      <c r="E45" s="73">
        <f t="shared" si="14"/>
        <v>21</v>
      </c>
      <c r="F45" s="101">
        <f t="shared" si="0"/>
        <v>-0.9759036144578346</v>
      </c>
      <c r="G45" s="101">
        <f t="shared" si="1"/>
        <v>5</v>
      </c>
      <c r="H45" s="101">
        <f t="shared" si="2"/>
        <v>9.699999999999996</v>
      </c>
      <c r="I45" s="80">
        <f t="shared" si="15"/>
        <v>0.930232558139535</v>
      </c>
      <c r="J45" s="80">
        <f t="shared" si="3"/>
        <v>0.6035087719298244</v>
      </c>
      <c r="K45" s="80">
        <f t="shared" si="16"/>
        <v>0.7710843373493977</v>
      </c>
      <c r="L45" s="102">
        <f t="shared" si="4"/>
        <v>0.5614035087719298</v>
      </c>
      <c r="M45" s="103">
        <f t="shared" si="5"/>
        <v>285.0000000000002</v>
      </c>
      <c r="N45" s="103">
        <f t="shared" si="6"/>
        <v>172.00000000000009</v>
      </c>
      <c r="O45" s="103">
        <f t="shared" si="7"/>
        <v>160.0000000000001</v>
      </c>
      <c r="P45" s="108">
        <f t="shared" si="8"/>
        <v>5.300000000000004</v>
      </c>
      <c r="Q45" s="101">
        <f t="shared" si="9"/>
        <v>53.00000000000008</v>
      </c>
      <c r="R45" s="104">
        <f t="shared" si="10"/>
        <v>1</v>
      </c>
      <c r="S45" s="73">
        <f t="shared" si="11"/>
        <v>-5.511627906976749</v>
      </c>
    </row>
    <row r="46" spans="1:19" ht="12.75">
      <c r="A46" s="73">
        <v>-6.5</v>
      </c>
      <c r="B46" s="93">
        <v>15.262557077625571</v>
      </c>
      <c r="C46" s="73">
        <f t="shared" si="12"/>
        <v>21</v>
      </c>
      <c r="D46" s="73">
        <f t="shared" si="13"/>
        <v>5</v>
      </c>
      <c r="E46" s="73">
        <f t="shared" si="14"/>
        <v>21</v>
      </c>
      <c r="F46" s="101">
        <f t="shared" si="0"/>
        <v>-0.20481927710843806</v>
      </c>
      <c r="G46" s="101">
        <f t="shared" si="1"/>
        <v>5</v>
      </c>
      <c r="H46" s="101">
        <f t="shared" si="2"/>
        <v>10.7</v>
      </c>
      <c r="I46" s="80">
        <f t="shared" si="15"/>
        <v>0.930232558139535</v>
      </c>
      <c r="J46" s="80">
        <f t="shared" si="3"/>
        <v>0.6254545454545454</v>
      </c>
      <c r="K46" s="80">
        <f t="shared" si="16"/>
        <v>0.7710843373493977</v>
      </c>
      <c r="L46" s="102">
        <f t="shared" si="4"/>
        <v>0.5818181818181818</v>
      </c>
      <c r="M46" s="103">
        <f t="shared" si="5"/>
        <v>221.14583333333323</v>
      </c>
      <c r="N46" s="103">
        <f t="shared" si="6"/>
        <v>138.31666666666658</v>
      </c>
      <c r="O46" s="103">
        <f t="shared" si="7"/>
        <v>128.6666666666666</v>
      </c>
      <c r="P46" s="108">
        <f t="shared" si="8"/>
        <v>4.300000000000001</v>
      </c>
      <c r="Q46" s="101">
        <f t="shared" si="9"/>
        <v>34.57916666666665</v>
      </c>
      <c r="R46" s="104">
        <f t="shared" si="10"/>
        <v>1</v>
      </c>
      <c r="S46" s="73">
        <f t="shared" si="11"/>
        <v>-4.581395348837212</v>
      </c>
    </row>
    <row r="47" spans="1:19" ht="12.75">
      <c r="A47" s="73">
        <v>-5.5</v>
      </c>
      <c r="B47" s="93">
        <v>18.21917808219178</v>
      </c>
      <c r="C47" s="73">
        <f t="shared" si="12"/>
        <v>21</v>
      </c>
      <c r="D47" s="73">
        <f t="shared" si="13"/>
        <v>5</v>
      </c>
      <c r="E47" s="73">
        <f t="shared" si="14"/>
        <v>21</v>
      </c>
      <c r="F47" s="101">
        <f t="shared" si="0"/>
        <v>0.5662650602409585</v>
      </c>
      <c r="G47" s="101">
        <f t="shared" si="1"/>
        <v>5</v>
      </c>
      <c r="H47" s="101">
        <f t="shared" si="2"/>
        <v>11.699999999999996</v>
      </c>
      <c r="I47" s="80">
        <f t="shared" si="15"/>
        <v>0.930232558139535</v>
      </c>
      <c r="J47" s="80">
        <f t="shared" si="3"/>
        <v>0.6490566037735848</v>
      </c>
      <c r="K47" s="80">
        <f t="shared" si="16"/>
        <v>0.7710843373493977</v>
      </c>
      <c r="L47" s="102">
        <f t="shared" si="4"/>
        <v>0.6037735849056604</v>
      </c>
      <c r="M47" s="103">
        <f t="shared" si="5"/>
        <v>285.97916666666674</v>
      </c>
      <c r="N47" s="103">
        <f t="shared" si="6"/>
        <v>185.61666666666667</v>
      </c>
      <c r="O47" s="103">
        <f t="shared" si="7"/>
        <v>172.6666666666667</v>
      </c>
      <c r="P47" s="108">
        <f t="shared" si="8"/>
        <v>3.3000000000000043</v>
      </c>
      <c r="Q47" s="101">
        <f t="shared" si="9"/>
        <v>35.612500000000054</v>
      </c>
      <c r="R47" s="104">
        <f t="shared" si="10"/>
        <v>1</v>
      </c>
      <c r="S47" s="73">
        <f t="shared" si="11"/>
        <v>-3.6511627906976756</v>
      </c>
    </row>
    <row r="48" spans="1:19" ht="12.75">
      <c r="A48" s="73">
        <v>-4.5</v>
      </c>
      <c r="B48" s="93">
        <v>21.24429223744292</v>
      </c>
      <c r="C48" s="73">
        <f t="shared" si="12"/>
        <v>21</v>
      </c>
      <c r="D48" s="73">
        <f t="shared" si="13"/>
        <v>5</v>
      </c>
      <c r="E48" s="73">
        <f t="shared" si="14"/>
        <v>21</v>
      </c>
      <c r="F48" s="101">
        <f t="shared" si="0"/>
        <v>1.3373493975903585</v>
      </c>
      <c r="G48" s="101">
        <f t="shared" si="1"/>
        <v>5</v>
      </c>
      <c r="H48" s="101">
        <f t="shared" si="2"/>
        <v>12.7</v>
      </c>
      <c r="I48" s="80">
        <f t="shared" si="15"/>
        <v>0.930232558139535</v>
      </c>
      <c r="J48" s="80">
        <f t="shared" si="3"/>
        <v>0.6745098039215686</v>
      </c>
      <c r="K48" s="80">
        <f t="shared" si="16"/>
        <v>0.7710843373493977</v>
      </c>
      <c r="L48" s="102">
        <f t="shared" si="4"/>
        <v>0.6274509803921569</v>
      </c>
      <c r="M48" s="103">
        <f t="shared" si="5"/>
        <v>281.5624999999997</v>
      </c>
      <c r="N48" s="103">
        <f t="shared" si="6"/>
        <v>189.91666666666646</v>
      </c>
      <c r="O48" s="103">
        <f t="shared" si="7"/>
        <v>176.6666666666665</v>
      </c>
      <c r="P48" s="108">
        <f t="shared" si="8"/>
        <v>2.3000000000000007</v>
      </c>
      <c r="Q48" s="101">
        <f t="shared" si="9"/>
        <v>25.395833333333314</v>
      </c>
      <c r="R48" s="104">
        <f t="shared" si="10"/>
        <v>1</v>
      </c>
      <c r="S48" s="73">
        <f t="shared" si="11"/>
        <v>-2.7209302325581426</v>
      </c>
    </row>
    <row r="49" spans="1:19" ht="12.75">
      <c r="A49" s="73">
        <v>-3.5</v>
      </c>
      <c r="B49" s="93">
        <v>25.102739726027394</v>
      </c>
      <c r="C49" s="73">
        <f t="shared" si="12"/>
        <v>21</v>
      </c>
      <c r="D49" s="73">
        <f t="shared" si="13"/>
        <v>5</v>
      </c>
      <c r="E49" s="73">
        <f t="shared" si="14"/>
        <v>21</v>
      </c>
      <c r="F49" s="101">
        <f t="shared" si="0"/>
        <v>2.108433734939755</v>
      </c>
      <c r="G49" s="101">
        <f t="shared" si="1"/>
        <v>5</v>
      </c>
      <c r="H49" s="101">
        <f t="shared" si="2"/>
        <v>13.699999999999996</v>
      </c>
      <c r="I49" s="80">
        <f t="shared" si="15"/>
        <v>0.930232558139535</v>
      </c>
      <c r="J49" s="80">
        <f t="shared" si="3"/>
        <v>0.7020408163265305</v>
      </c>
      <c r="K49" s="80">
        <f t="shared" si="16"/>
        <v>0.7710843373493977</v>
      </c>
      <c r="L49" s="102">
        <f t="shared" si="4"/>
        <v>0.6530612244897959</v>
      </c>
      <c r="M49" s="103">
        <f t="shared" si="5"/>
        <v>345.0416666666666</v>
      </c>
      <c r="N49" s="103">
        <f t="shared" si="6"/>
        <v>242.23333333333323</v>
      </c>
      <c r="O49" s="103">
        <f t="shared" si="7"/>
        <v>225.3333333333333</v>
      </c>
      <c r="P49" s="108">
        <f t="shared" si="8"/>
        <v>1.3000000000000043</v>
      </c>
      <c r="Q49" s="101">
        <f t="shared" si="9"/>
        <v>18.30833333333339</v>
      </c>
      <c r="R49" s="104">
        <f t="shared" si="10"/>
        <v>1</v>
      </c>
      <c r="S49" s="73">
        <f t="shared" si="11"/>
        <v>-1.790697674418606</v>
      </c>
    </row>
    <row r="50" spans="1:19" ht="12.75">
      <c r="A50" s="73">
        <v>-2.5</v>
      </c>
      <c r="B50" s="93">
        <v>29.486301369863018</v>
      </c>
      <c r="C50" s="73">
        <f t="shared" si="12"/>
        <v>21</v>
      </c>
      <c r="D50" s="73">
        <f t="shared" si="13"/>
        <v>5</v>
      </c>
      <c r="E50" s="73">
        <f t="shared" si="14"/>
        <v>21</v>
      </c>
      <c r="F50" s="101">
        <f t="shared" si="0"/>
        <v>2.8795180722891516</v>
      </c>
      <c r="G50" s="101">
        <f t="shared" si="1"/>
        <v>5</v>
      </c>
      <c r="H50" s="101">
        <f t="shared" si="2"/>
        <v>14.7</v>
      </c>
      <c r="I50" s="80">
        <f t="shared" si="15"/>
        <v>0.930232558139535</v>
      </c>
      <c r="J50" s="80">
        <f t="shared" si="3"/>
        <v>0.7319148936170212</v>
      </c>
      <c r="K50" s="80">
        <f t="shared" si="16"/>
        <v>0.7710843373493977</v>
      </c>
      <c r="L50" s="102">
        <f t="shared" si="4"/>
        <v>0.6808510638297872</v>
      </c>
      <c r="M50" s="103">
        <f t="shared" si="5"/>
        <v>376.00000000000057</v>
      </c>
      <c r="N50" s="103">
        <f t="shared" si="6"/>
        <v>275.20000000000044</v>
      </c>
      <c r="O50" s="103">
        <f t="shared" si="7"/>
        <v>256.0000000000004</v>
      </c>
      <c r="P50" s="108">
        <f t="shared" si="8"/>
        <v>0.3000000000000007</v>
      </c>
      <c r="Q50" s="101">
        <f t="shared" si="9"/>
        <v>4.8000000000000185</v>
      </c>
      <c r="R50" s="104">
        <f t="shared" si="10"/>
        <v>1</v>
      </c>
      <c r="S50" s="73">
        <f t="shared" si="11"/>
        <v>-0.8604651162790731</v>
      </c>
    </row>
    <row r="51" spans="1:19" ht="12.75">
      <c r="A51" s="73">
        <v>-1.5</v>
      </c>
      <c r="B51" s="93">
        <v>33.51598173515982</v>
      </c>
      <c r="C51" s="73">
        <f t="shared" si="12"/>
        <v>21</v>
      </c>
      <c r="D51" s="73">
        <f t="shared" si="13"/>
        <v>5</v>
      </c>
      <c r="E51" s="73">
        <f t="shared" si="14"/>
        <v>21</v>
      </c>
      <c r="F51" s="101">
        <f t="shared" si="0"/>
        <v>3.6506024096385516</v>
      </c>
      <c r="G51" s="101">
        <f t="shared" si="1"/>
        <v>5</v>
      </c>
      <c r="H51" s="101">
        <f t="shared" si="2"/>
        <v>15.7</v>
      </c>
      <c r="I51" s="80">
        <f t="shared" si="15"/>
        <v>0.930232558139535</v>
      </c>
      <c r="J51" s="80">
        <f t="shared" si="3"/>
        <v>0.7644444444444444</v>
      </c>
      <c r="K51" s="80">
        <f t="shared" si="16"/>
        <v>0.7710843373493977</v>
      </c>
      <c r="L51" s="102">
        <f t="shared" si="4"/>
        <v>0.7111111111111111</v>
      </c>
      <c r="M51" s="103">
        <f t="shared" si="5"/>
        <v>330.93749999999983</v>
      </c>
      <c r="N51" s="103">
        <f t="shared" si="6"/>
        <v>252.9833333333332</v>
      </c>
      <c r="O51" s="103">
        <f t="shared" si="7"/>
        <v>235.33333333333323</v>
      </c>
      <c r="P51" s="108">
        <f t="shared" si="8"/>
        <v>0</v>
      </c>
      <c r="Q51" s="101">
        <f t="shared" si="9"/>
        <v>0</v>
      </c>
      <c r="R51" s="104">
        <f t="shared" si="10"/>
        <v>1</v>
      </c>
      <c r="S51" s="73">
        <f t="shared" si="11"/>
        <v>0.06976744186046346</v>
      </c>
    </row>
    <row r="52" spans="1:19" ht="12.75">
      <c r="A52" s="73">
        <v>-0.5</v>
      </c>
      <c r="B52" s="93">
        <v>37.43150684931506</v>
      </c>
      <c r="C52" s="73">
        <f t="shared" si="12"/>
        <v>21</v>
      </c>
      <c r="D52" s="73">
        <f t="shared" si="13"/>
        <v>5</v>
      </c>
      <c r="E52" s="73">
        <f t="shared" si="14"/>
        <v>21</v>
      </c>
      <c r="F52" s="101">
        <f t="shared" si="0"/>
        <v>4.421686746987948</v>
      </c>
      <c r="G52" s="101">
        <f t="shared" si="1"/>
        <v>5</v>
      </c>
      <c r="H52" s="101">
        <f t="shared" si="2"/>
        <v>16.7</v>
      </c>
      <c r="I52" s="80">
        <f t="shared" si="15"/>
        <v>0.930232558139535</v>
      </c>
      <c r="J52" s="80">
        <f t="shared" si="3"/>
        <v>0.7999999999999999</v>
      </c>
      <c r="K52" s="80">
        <f t="shared" si="16"/>
        <v>0.7710843373493977</v>
      </c>
      <c r="L52" s="102">
        <f t="shared" si="4"/>
        <v>0.7441860465116279</v>
      </c>
      <c r="M52" s="103">
        <f t="shared" si="5"/>
        <v>307.27083333333275</v>
      </c>
      <c r="N52" s="103">
        <f t="shared" si="6"/>
        <v>245.81666666666618</v>
      </c>
      <c r="O52" s="103">
        <f t="shared" si="7"/>
        <v>228.66666666666623</v>
      </c>
      <c r="P52" s="108">
        <f t="shared" si="8"/>
        <v>0</v>
      </c>
      <c r="Q52" s="101">
        <f t="shared" si="9"/>
        <v>0</v>
      </c>
      <c r="R52" s="104">
        <f t="shared" si="10"/>
        <v>1</v>
      </c>
      <c r="S52" s="73">
        <f t="shared" si="11"/>
        <v>0.9999999999999964</v>
      </c>
    </row>
    <row r="53" spans="1:19" ht="12.75">
      <c r="A53" s="73">
        <v>0.5</v>
      </c>
      <c r="B53" s="93">
        <v>42.71689497716895</v>
      </c>
      <c r="C53" s="73">
        <f t="shared" si="12"/>
        <v>21</v>
      </c>
      <c r="D53" s="73">
        <f t="shared" si="13"/>
        <v>5</v>
      </c>
      <c r="E53" s="73">
        <f t="shared" si="14"/>
        <v>21</v>
      </c>
      <c r="F53" s="101">
        <f t="shared" si="0"/>
        <v>5.1927710843373465</v>
      </c>
      <c r="G53" s="101">
        <f t="shared" si="1"/>
        <v>5.1927710843373465</v>
      </c>
      <c r="H53" s="101">
        <f t="shared" si="2"/>
        <v>17.49277108433735</v>
      </c>
      <c r="I53" s="80">
        <f t="shared" si="15"/>
        <v>0.930232558139535</v>
      </c>
      <c r="J53" s="80">
        <f t="shared" si="3"/>
        <v>0.8289156626506025</v>
      </c>
      <c r="K53" s="80">
        <f t="shared" si="16"/>
        <v>0.7710843373493977</v>
      </c>
      <c r="L53" s="102">
        <f t="shared" si="4"/>
        <v>0.7710843373493977</v>
      </c>
      <c r="M53" s="103">
        <f t="shared" si="5"/>
        <v>395.4791666666669</v>
      </c>
      <c r="N53" s="103">
        <f t="shared" si="6"/>
        <v>327.8188755020082</v>
      </c>
      <c r="O53" s="103">
        <f t="shared" si="7"/>
        <v>304.9477911646589</v>
      </c>
      <c r="P53" s="108">
        <f t="shared" si="8"/>
        <v>0</v>
      </c>
      <c r="Q53" s="101">
        <f t="shared" si="9"/>
        <v>0</v>
      </c>
      <c r="R53" s="104">
        <f t="shared" si="10"/>
        <v>1</v>
      </c>
      <c r="S53" s="73">
        <f t="shared" si="11"/>
        <v>1.930232558139533</v>
      </c>
    </row>
    <row r="54" spans="1:19" ht="12.75">
      <c r="A54" s="73">
        <v>1.5</v>
      </c>
      <c r="B54" s="93">
        <v>46.678082191780824</v>
      </c>
      <c r="C54" s="73">
        <f t="shared" si="12"/>
        <v>21</v>
      </c>
      <c r="D54" s="73">
        <f t="shared" si="13"/>
        <v>5</v>
      </c>
      <c r="E54" s="73">
        <f t="shared" si="14"/>
        <v>21</v>
      </c>
      <c r="F54" s="101">
        <f t="shared" si="0"/>
        <v>5.963855421686745</v>
      </c>
      <c r="G54" s="101">
        <f t="shared" si="1"/>
        <v>5.963855421686745</v>
      </c>
      <c r="H54" s="101">
        <f t="shared" si="2"/>
        <v>17.663855421686748</v>
      </c>
      <c r="I54" s="80">
        <f t="shared" si="15"/>
        <v>0.930232558139535</v>
      </c>
      <c r="J54" s="80">
        <f t="shared" si="3"/>
        <v>0.8289156626506025</v>
      </c>
      <c r="K54" s="80">
        <f t="shared" si="16"/>
        <v>0.7710843373493977</v>
      </c>
      <c r="L54" s="102">
        <f t="shared" si="4"/>
        <v>0.7710843373493977</v>
      </c>
      <c r="M54" s="103">
        <f t="shared" si="5"/>
        <v>281.9375000000002</v>
      </c>
      <c r="N54" s="103">
        <f t="shared" si="6"/>
        <v>233.70240963855443</v>
      </c>
      <c r="O54" s="103">
        <f t="shared" si="7"/>
        <v>217.39759036144602</v>
      </c>
      <c r="P54" s="108">
        <f t="shared" si="8"/>
        <v>0</v>
      </c>
      <c r="Q54" s="101">
        <f t="shared" si="9"/>
        <v>0</v>
      </c>
      <c r="R54" s="104">
        <f t="shared" si="10"/>
        <v>1</v>
      </c>
      <c r="S54" s="73">
        <f t="shared" si="11"/>
        <v>2.8604651162790695</v>
      </c>
    </row>
    <row r="55" spans="1:19" ht="12.75">
      <c r="A55" s="73">
        <v>2.5</v>
      </c>
      <c r="B55" s="93">
        <v>49.87442922374429</v>
      </c>
      <c r="C55" s="73">
        <f t="shared" si="12"/>
        <v>21</v>
      </c>
      <c r="D55" s="73">
        <f t="shared" si="13"/>
        <v>5</v>
      </c>
      <c r="E55" s="73">
        <f t="shared" si="14"/>
        <v>21</v>
      </c>
      <c r="F55" s="101">
        <f t="shared" si="0"/>
        <v>6.734939759036141</v>
      </c>
      <c r="G55" s="101">
        <f t="shared" si="1"/>
        <v>6.734939759036141</v>
      </c>
      <c r="H55" s="101">
        <f t="shared" si="2"/>
        <v>17.834939759036146</v>
      </c>
      <c r="I55" s="80">
        <f t="shared" si="15"/>
        <v>0.930232558139535</v>
      </c>
      <c r="J55" s="80">
        <f t="shared" si="3"/>
        <v>0.8289156626506025</v>
      </c>
      <c r="K55" s="80">
        <f t="shared" si="16"/>
        <v>0.7710843373493977</v>
      </c>
      <c r="L55" s="102">
        <f t="shared" si="4"/>
        <v>0.7710843373493977</v>
      </c>
      <c r="M55" s="103">
        <f t="shared" si="5"/>
        <v>215.8333333333333</v>
      </c>
      <c r="N55" s="103">
        <f t="shared" si="6"/>
        <v>178.90763052208834</v>
      </c>
      <c r="O55" s="103">
        <f t="shared" si="7"/>
        <v>166.42570281124497</v>
      </c>
      <c r="P55" s="108">
        <f t="shared" si="8"/>
        <v>0</v>
      </c>
      <c r="Q55" s="101">
        <f t="shared" si="9"/>
        <v>0</v>
      </c>
      <c r="R55" s="104">
        <f t="shared" si="10"/>
        <v>1</v>
      </c>
      <c r="S55" s="73">
        <f t="shared" si="11"/>
        <v>3.7906976744186025</v>
      </c>
    </row>
    <row r="56" spans="1:19" ht="12.75">
      <c r="A56" s="73">
        <v>3.5</v>
      </c>
      <c r="B56" s="93">
        <v>53.16210045662101</v>
      </c>
      <c r="C56" s="73">
        <f t="shared" si="12"/>
        <v>21</v>
      </c>
      <c r="D56" s="73">
        <f t="shared" si="13"/>
        <v>5</v>
      </c>
      <c r="E56" s="73">
        <f t="shared" si="14"/>
        <v>21</v>
      </c>
      <c r="F56" s="101">
        <f t="shared" si="0"/>
        <v>7.50602409638554</v>
      </c>
      <c r="G56" s="101">
        <f t="shared" si="1"/>
        <v>7.50602409638554</v>
      </c>
      <c r="H56" s="101">
        <f t="shared" si="2"/>
        <v>18.006024096385545</v>
      </c>
      <c r="I56" s="80">
        <f t="shared" si="15"/>
        <v>0.930232558139535</v>
      </c>
      <c r="J56" s="80">
        <f t="shared" si="3"/>
        <v>0.8289156626506025</v>
      </c>
      <c r="K56" s="80">
        <f t="shared" si="16"/>
        <v>0.7710843373493977</v>
      </c>
      <c r="L56" s="102">
        <f t="shared" si="4"/>
        <v>0.7710843373493977</v>
      </c>
      <c r="M56" s="103">
        <f t="shared" si="5"/>
        <v>210.00000000000037</v>
      </c>
      <c r="N56" s="103">
        <f t="shared" si="6"/>
        <v>174.07228915662685</v>
      </c>
      <c r="O56" s="103">
        <f t="shared" si="7"/>
        <v>161.9277108433738</v>
      </c>
      <c r="P56" s="108">
        <f t="shared" si="8"/>
        <v>0</v>
      </c>
      <c r="Q56" s="101">
        <f t="shared" si="9"/>
        <v>0</v>
      </c>
      <c r="R56" s="104">
        <f t="shared" si="10"/>
        <v>1</v>
      </c>
      <c r="S56" s="73">
        <f t="shared" si="11"/>
        <v>4.720930232558139</v>
      </c>
    </row>
    <row r="57" spans="1:19" ht="12.75">
      <c r="A57" s="73">
        <v>4.5</v>
      </c>
      <c r="B57" s="93">
        <v>56.13013698630137</v>
      </c>
      <c r="C57" s="73">
        <f t="shared" si="12"/>
        <v>21</v>
      </c>
      <c r="D57" s="73">
        <f t="shared" si="13"/>
        <v>5</v>
      </c>
      <c r="E57" s="73">
        <f t="shared" si="14"/>
        <v>21</v>
      </c>
      <c r="F57" s="101">
        <f t="shared" si="0"/>
        <v>8.277108433734938</v>
      </c>
      <c r="G57" s="101">
        <f t="shared" si="1"/>
        <v>8.277108433734938</v>
      </c>
      <c r="H57" s="101">
        <f t="shared" si="2"/>
        <v>18.17710843373494</v>
      </c>
      <c r="I57" s="80">
        <f t="shared" si="15"/>
        <v>0.930232558139535</v>
      </c>
      <c r="J57" s="80">
        <f t="shared" si="3"/>
        <v>0.8289156626506025</v>
      </c>
      <c r="K57" s="80">
        <f t="shared" si="16"/>
        <v>0.7710843373493977</v>
      </c>
      <c r="L57" s="102">
        <f t="shared" si="4"/>
        <v>0.7710843373493977</v>
      </c>
      <c r="M57" s="103">
        <f t="shared" si="5"/>
        <v>178.74999999999974</v>
      </c>
      <c r="N57" s="103">
        <f t="shared" si="6"/>
        <v>148.16867469879497</v>
      </c>
      <c r="O57" s="103">
        <f t="shared" si="7"/>
        <v>137.83132530120466</v>
      </c>
      <c r="P57" s="108">
        <f t="shared" si="8"/>
        <v>0</v>
      </c>
      <c r="Q57" s="101">
        <f t="shared" si="9"/>
        <v>0</v>
      </c>
      <c r="R57" s="104">
        <f t="shared" si="10"/>
        <v>1</v>
      </c>
      <c r="S57" s="73">
        <f t="shared" si="11"/>
        <v>5.651162790697672</v>
      </c>
    </row>
    <row r="58" spans="1:19" ht="12.75">
      <c r="A58" s="73">
        <v>5.5</v>
      </c>
      <c r="B58" s="93">
        <v>59.942922374429216</v>
      </c>
      <c r="C58" s="73">
        <f t="shared" si="12"/>
        <v>21</v>
      </c>
      <c r="D58" s="73">
        <f t="shared" si="13"/>
        <v>5</v>
      </c>
      <c r="E58" s="73">
        <f t="shared" si="14"/>
        <v>21</v>
      </c>
      <c r="F58" s="101">
        <f t="shared" si="0"/>
        <v>9.048192771084334</v>
      </c>
      <c r="G58" s="101">
        <f t="shared" si="1"/>
        <v>9.048192771084334</v>
      </c>
      <c r="H58" s="101">
        <f t="shared" si="2"/>
        <v>18.34819277108434</v>
      </c>
      <c r="I58" s="80">
        <f t="shared" si="15"/>
        <v>0.930232558139535</v>
      </c>
      <c r="J58" s="80">
        <f t="shared" si="3"/>
        <v>0.8289156626506025</v>
      </c>
      <c r="K58" s="80">
        <f t="shared" si="16"/>
        <v>0.7710843373493977</v>
      </c>
      <c r="L58" s="102">
        <f t="shared" si="4"/>
        <v>0.7710843373493977</v>
      </c>
      <c r="M58" s="103">
        <f t="shared" si="5"/>
        <v>215.70833333333272</v>
      </c>
      <c r="N58" s="103">
        <f t="shared" si="6"/>
        <v>178.80401606425653</v>
      </c>
      <c r="O58" s="103">
        <f t="shared" si="7"/>
        <v>166.32931726907586</v>
      </c>
      <c r="P58" s="108">
        <f t="shared" si="8"/>
        <v>0</v>
      </c>
      <c r="Q58" s="101">
        <f t="shared" si="9"/>
        <v>0</v>
      </c>
      <c r="R58" s="104">
        <f t="shared" si="10"/>
        <v>1</v>
      </c>
      <c r="S58" s="73">
        <f t="shared" si="11"/>
        <v>6.581395348837209</v>
      </c>
    </row>
    <row r="59" spans="1:19" ht="12.75">
      <c r="A59" s="73">
        <v>6.5</v>
      </c>
      <c r="B59" s="93">
        <v>63.310502283105016</v>
      </c>
      <c r="C59" s="73">
        <f t="shared" si="12"/>
        <v>21</v>
      </c>
      <c r="D59" s="73">
        <f t="shared" si="13"/>
        <v>5</v>
      </c>
      <c r="E59" s="73">
        <f t="shared" si="14"/>
        <v>21</v>
      </c>
      <c r="F59" s="101">
        <f t="shared" si="0"/>
        <v>9.819277108433733</v>
      </c>
      <c r="G59" s="101">
        <f t="shared" si="1"/>
        <v>9.819277108433733</v>
      </c>
      <c r="H59" s="101">
        <f t="shared" si="2"/>
        <v>18.519277108433734</v>
      </c>
      <c r="I59" s="80">
        <f t="shared" si="15"/>
        <v>0.930232558139535</v>
      </c>
      <c r="J59" s="80">
        <f t="shared" si="3"/>
        <v>0.8289156626506025</v>
      </c>
      <c r="K59" s="80">
        <f t="shared" si="16"/>
        <v>0.7710843373493977</v>
      </c>
      <c r="L59" s="102">
        <f t="shared" si="4"/>
        <v>0.7710843373493977</v>
      </c>
      <c r="M59" s="103">
        <f t="shared" si="5"/>
        <v>178.22916666666674</v>
      </c>
      <c r="N59" s="103">
        <f t="shared" si="6"/>
        <v>147.7369477911647</v>
      </c>
      <c r="O59" s="103">
        <f t="shared" si="7"/>
        <v>137.4297188755021</v>
      </c>
      <c r="P59" s="108">
        <f t="shared" si="8"/>
        <v>0</v>
      </c>
      <c r="Q59" s="101">
        <f t="shared" si="9"/>
        <v>0</v>
      </c>
      <c r="R59" s="104">
        <f t="shared" si="10"/>
        <v>1</v>
      </c>
      <c r="S59" s="73">
        <f t="shared" si="11"/>
        <v>7.511627906976743</v>
      </c>
    </row>
    <row r="60" spans="1:19" ht="12.75">
      <c r="A60" s="73">
        <v>7.5</v>
      </c>
      <c r="B60" s="93">
        <v>66.28995433789954</v>
      </c>
      <c r="C60" s="73">
        <f t="shared" si="12"/>
        <v>21</v>
      </c>
      <c r="D60" s="73">
        <f t="shared" si="13"/>
        <v>5</v>
      </c>
      <c r="E60" s="73">
        <f t="shared" si="14"/>
        <v>21</v>
      </c>
      <c r="F60" s="101">
        <f t="shared" si="0"/>
        <v>10.590361445783131</v>
      </c>
      <c r="G60" s="101">
        <f t="shared" si="1"/>
        <v>10.590361445783131</v>
      </c>
      <c r="H60" s="101">
        <f t="shared" si="2"/>
        <v>18.690361445783132</v>
      </c>
      <c r="I60" s="80">
        <f t="shared" si="15"/>
        <v>0.930232558139535</v>
      </c>
      <c r="J60" s="80">
        <f t="shared" si="3"/>
        <v>0.8289156626506025</v>
      </c>
      <c r="K60" s="80">
        <f t="shared" si="16"/>
        <v>0.7710843373493977</v>
      </c>
      <c r="L60" s="102">
        <f t="shared" si="4"/>
        <v>0.7710843373493977</v>
      </c>
      <c r="M60" s="103">
        <f t="shared" si="5"/>
        <v>146.81250000000037</v>
      </c>
      <c r="N60" s="103">
        <f t="shared" si="6"/>
        <v>121.69518072289186</v>
      </c>
      <c r="O60" s="103">
        <f t="shared" si="7"/>
        <v>113.20481927710873</v>
      </c>
      <c r="P60" s="108">
        <f t="shared" si="8"/>
        <v>0</v>
      </c>
      <c r="Q60" s="101">
        <f t="shared" si="9"/>
        <v>0</v>
      </c>
      <c r="R60" s="104">
        <f t="shared" si="10"/>
        <v>1</v>
      </c>
      <c r="S60" s="73">
        <f t="shared" si="11"/>
        <v>8.441860465116278</v>
      </c>
    </row>
    <row r="61" spans="1:19" ht="12.75">
      <c r="A61" s="73">
        <v>8.5</v>
      </c>
      <c r="B61" s="93">
        <v>69.24657534246576</v>
      </c>
      <c r="C61" s="73">
        <f t="shared" si="12"/>
        <v>21</v>
      </c>
      <c r="D61" s="73">
        <f t="shared" si="13"/>
        <v>5</v>
      </c>
      <c r="E61" s="73">
        <f t="shared" si="14"/>
        <v>21</v>
      </c>
      <c r="F61" s="101">
        <f t="shared" si="0"/>
        <v>11.361445783132528</v>
      </c>
      <c r="G61" s="101">
        <f t="shared" si="1"/>
        <v>11.361445783132528</v>
      </c>
      <c r="H61" s="101">
        <f t="shared" si="2"/>
        <v>18.86144578313253</v>
      </c>
      <c r="I61" s="80">
        <f t="shared" si="15"/>
        <v>0.930232558139535</v>
      </c>
      <c r="J61" s="80">
        <f t="shared" si="3"/>
        <v>0.8289156626506026</v>
      </c>
      <c r="K61" s="80">
        <f t="shared" si="16"/>
        <v>0.7710843373493977</v>
      </c>
      <c r="L61" s="102">
        <f t="shared" si="4"/>
        <v>0.7710843373493979</v>
      </c>
      <c r="M61" s="103">
        <f t="shared" si="5"/>
        <v>134.89583333333363</v>
      </c>
      <c r="N61" s="103">
        <f t="shared" si="6"/>
        <v>111.81726907630546</v>
      </c>
      <c r="O61" s="103">
        <f t="shared" si="7"/>
        <v>104.01606425702836</v>
      </c>
      <c r="P61" s="108">
        <f t="shared" si="8"/>
        <v>0</v>
      </c>
      <c r="Q61" s="101">
        <f t="shared" si="9"/>
        <v>0</v>
      </c>
      <c r="R61" s="104">
        <f t="shared" si="10"/>
        <v>1</v>
      </c>
      <c r="S61" s="73">
        <f t="shared" si="11"/>
        <v>9.372093023255813</v>
      </c>
    </row>
    <row r="62" spans="1:19" ht="12.75">
      <c r="A62" s="73">
        <v>9.5</v>
      </c>
      <c r="B62" s="93">
        <v>71.91780821917808</v>
      </c>
      <c r="C62" s="73">
        <f t="shared" si="12"/>
        <v>21</v>
      </c>
      <c r="D62" s="73">
        <f t="shared" si="13"/>
        <v>5</v>
      </c>
      <c r="E62" s="73">
        <f t="shared" si="14"/>
        <v>21</v>
      </c>
      <c r="F62" s="101">
        <f t="shared" si="0"/>
        <v>12.132530120481926</v>
      </c>
      <c r="G62" s="101">
        <f t="shared" si="1"/>
        <v>12.132530120481926</v>
      </c>
      <c r="H62" s="101">
        <f t="shared" si="2"/>
        <v>19.03253012048193</v>
      </c>
      <c r="I62" s="80">
        <f t="shared" si="15"/>
        <v>0.930232558139535</v>
      </c>
      <c r="J62" s="80">
        <f t="shared" si="3"/>
        <v>0.8289156626506025</v>
      </c>
      <c r="K62" s="80">
        <f t="shared" si="16"/>
        <v>0.7710843373493977</v>
      </c>
      <c r="L62" s="102">
        <f t="shared" si="4"/>
        <v>0.7710843373493977</v>
      </c>
      <c r="M62" s="103">
        <f t="shared" si="5"/>
        <v>112.1249999999998</v>
      </c>
      <c r="N62" s="103">
        <f t="shared" si="6"/>
        <v>92.94216867469865</v>
      </c>
      <c r="O62" s="103">
        <f t="shared" si="7"/>
        <v>86.45783132530107</v>
      </c>
      <c r="P62" s="108">
        <f t="shared" si="8"/>
        <v>0</v>
      </c>
      <c r="Q62" s="101">
        <f t="shared" si="9"/>
        <v>0</v>
      </c>
      <c r="R62" s="104">
        <f t="shared" si="10"/>
        <v>1</v>
      </c>
      <c r="S62" s="73">
        <f t="shared" si="11"/>
        <v>10.302325581395348</v>
      </c>
    </row>
    <row r="63" spans="1:19" ht="12.75">
      <c r="A63" s="73">
        <v>10.5</v>
      </c>
      <c r="B63" s="93">
        <v>75.39954337899543</v>
      </c>
      <c r="C63" s="73">
        <f t="shared" si="12"/>
        <v>21</v>
      </c>
      <c r="D63" s="73">
        <f t="shared" si="13"/>
        <v>5</v>
      </c>
      <c r="E63" s="73">
        <f t="shared" si="14"/>
        <v>21</v>
      </c>
      <c r="F63" s="101">
        <f t="shared" si="0"/>
        <v>12.903614457831324</v>
      </c>
      <c r="G63" s="101">
        <f t="shared" si="1"/>
        <v>12.903614457831324</v>
      </c>
      <c r="H63" s="101">
        <f t="shared" si="2"/>
        <v>19.20361445783133</v>
      </c>
      <c r="I63" s="80">
        <f t="shared" si="15"/>
        <v>0.930232558139535</v>
      </c>
      <c r="J63" s="80">
        <f t="shared" si="3"/>
        <v>0.8289156626506025</v>
      </c>
      <c r="K63" s="80">
        <f t="shared" si="16"/>
        <v>0.7710843373493977</v>
      </c>
      <c r="L63" s="102">
        <f t="shared" si="4"/>
        <v>0.7710843373493977</v>
      </c>
      <c r="M63" s="103">
        <f t="shared" si="5"/>
        <v>133.43749999999983</v>
      </c>
      <c r="N63" s="103">
        <f t="shared" si="6"/>
        <v>110.60843373493967</v>
      </c>
      <c r="O63" s="103">
        <f t="shared" si="7"/>
        <v>102.89156626506013</v>
      </c>
      <c r="P63" s="108">
        <f t="shared" si="8"/>
        <v>0</v>
      </c>
      <c r="Q63" s="101">
        <f t="shared" si="9"/>
        <v>0</v>
      </c>
      <c r="R63" s="104">
        <f t="shared" si="10"/>
        <v>1</v>
      </c>
      <c r="S63" s="73">
        <f t="shared" si="11"/>
        <v>11.232558139534882</v>
      </c>
    </row>
    <row r="64" spans="1:19" ht="12.75">
      <c r="A64" s="73">
        <v>11.5</v>
      </c>
      <c r="B64" s="93">
        <v>78.37899543378995</v>
      </c>
      <c r="C64" s="73">
        <f t="shared" si="12"/>
        <v>21</v>
      </c>
      <c r="D64" s="73">
        <f t="shared" si="13"/>
        <v>5</v>
      </c>
      <c r="E64" s="73">
        <f t="shared" si="14"/>
        <v>21</v>
      </c>
      <c r="F64" s="101">
        <f t="shared" si="0"/>
        <v>13.67469879518072</v>
      </c>
      <c r="G64" s="101">
        <f t="shared" si="1"/>
        <v>13.67469879518072</v>
      </c>
      <c r="H64" s="101">
        <f t="shared" si="2"/>
        <v>19.374698795180723</v>
      </c>
      <c r="I64" s="80">
        <f t="shared" si="15"/>
        <v>0.930232558139535</v>
      </c>
      <c r="J64" s="80">
        <f t="shared" si="3"/>
        <v>0.8289156626506026</v>
      </c>
      <c r="K64" s="80">
        <f t="shared" si="16"/>
        <v>0.7710843373493977</v>
      </c>
      <c r="L64" s="102">
        <f t="shared" si="4"/>
        <v>0.7710843373493979</v>
      </c>
      <c r="M64" s="103">
        <f t="shared" si="5"/>
        <v>103.31250000000001</v>
      </c>
      <c r="N64" s="103">
        <f t="shared" si="6"/>
        <v>85.63734939759038</v>
      </c>
      <c r="O64" s="103">
        <f t="shared" si="7"/>
        <v>79.66265060240967</v>
      </c>
      <c r="P64" s="108">
        <f t="shared" si="8"/>
        <v>0</v>
      </c>
      <c r="Q64" s="101">
        <f t="shared" si="9"/>
        <v>0</v>
      </c>
      <c r="R64" s="104">
        <f t="shared" si="10"/>
        <v>1</v>
      </c>
      <c r="S64" s="73">
        <f t="shared" si="11"/>
        <v>12.162790697674417</v>
      </c>
    </row>
    <row r="65" spans="1:18" ht="12.75">
      <c r="A65" s="73">
        <v>12.5</v>
      </c>
      <c r="B65" s="93">
        <v>81.36986301369863</v>
      </c>
      <c r="F65" s="101"/>
      <c r="G65" s="101"/>
      <c r="H65" s="101"/>
      <c r="I65" s="80"/>
      <c r="J65" s="80"/>
      <c r="K65" s="80"/>
      <c r="L65" s="102"/>
      <c r="M65" s="103"/>
      <c r="N65" s="103"/>
      <c r="O65" s="103"/>
      <c r="P65" s="108"/>
      <c r="Q65" s="101"/>
      <c r="R65" s="104"/>
    </row>
    <row r="66" spans="1:18" ht="12.75">
      <c r="A66" s="73">
        <v>13.5</v>
      </c>
      <c r="B66" s="93">
        <v>84.45205479452055</v>
      </c>
      <c r="F66" s="101"/>
      <c r="G66" s="101"/>
      <c r="H66" s="101"/>
      <c r="I66" s="80"/>
      <c r="J66" s="80"/>
      <c r="K66" s="80"/>
      <c r="L66" s="102"/>
      <c r="M66" s="103"/>
      <c r="N66" s="103"/>
      <c r="O66" s="103"/>
      <c r="P66" s="108"/>
      <c r="Q66" s="101"/>
      <c r="R66" s="104"/>
    </row>
    <row r="67" spans="1:18" ht="12.75">
      <c r="A67" s="73">
        <v>14.5</v>
      </c>
      <c r="B67" s="93">
        <v>86.92922374429224</v>
      </c>
      <c r="F67" s="101"/>
      <c r="G67" s="101"/>
      <c r="H67" s="101"/>
      <c r="I67" s="80"/>
      <c r="J67" s="80"/>
      <c r="K67" s="80"/>
      <c r="L67" s="102"/>
      <c r="M67" s="103"/>
      <c r="N67" s="103"/>
      <c r="O67" s="103"/>
      <c r="P67" s="108"/>
      <c r="Q67" s="101"/>
      <c r="R67" s="104"/>
    </row>
    <row r="68" spans="1:18" ht="12.75">
      <c r="A68" s="73">
        <v>15.5</v>
      </c>
      <c r="B68" s="93">
        <v>89.39497716894978</v>
      </c>
      <c r="F68" s="101"/>
      <c r="G68" s="101"/>
      <c r="H68" s="101"/>
      <c r="I68" s="80"/>
      <c r="J68" s="80"/>
      <c r="K68" s="80"/>
      <c r="L68" s="102"/>
      <c r="M68" s="103"/>
      <c r="N68" s="103"/>
      <c r="O68" s="103"/>
      <c r="P68" s="108"/>
      <c r="Q68" s="101"/>
      <c r="R68" s="104"/>
    </row>
    <row r="69" spans="1:18" ht="12.75">
      <c r="A69" s="73">
        <v>16.5</v>
      </c>
      <c r="B69" s="93">
        <v>91.59817351598174</v>
      </c>
      <c r="F69" s="101"/>
      <c r="G69" s="101"/>
      <c r="H69" s="101"/>
      <c r="I69" s="80"/>
      <c r="J69" s="80"/>
      <c r="K69" s="80"/>
      <c r="L69" s="102"/>
      <c r="M69" s="103"/>
      <c r="N69" s="103"/>
      <c r="O69" s="103"/>
      <c r="P69" s="108"/>
      <c r="Q69" s="101"/>
      <c r="R69" s="104"/>
    </row>
    <row r="70" spans="1:18" ht="12.75">
      <c r="A70" s="73">
        <v>17.5</v>
      </c>
      <c r="B70" s="93">
        <v>93.37899543378995</v>
      </c>
      <c r="F70" s="101"/>
      <c r="G70" s="101"/>
      <c r="H70" s="101"/>
      <c r="I70" s="80"/>
      <c r="J70" s="80"/>
      <c r="K70" s="80"/>
      <c r="L70" s="102"/>
      <c r="M70" s="103"/>
      <c r="N70" s="103"/>
      <c r="O70" s="103"/>
      <c r="P70" s="108"/>
      <c r="Q70" s="101"/>
      <c r="R70" s="104"/>
    </row>
    <row r="71" spans="1:16" ht="12.75">
      <c r="A71" s="73">
        <v>18.5</v>
      </c>
      <c r="B71" s="93">
        <v>94.77168949771689</v>
      </c>
      <c r="L71" s="107"/>
      <c r="M71" s="107"/>
      <c r="N71" s="107"/>
      <c r="O71" s="108"/>
      <c r="P71" s="108"/>
    </row>
    <row r="72" spans="1:16" ht="12.75">
      <c r="A72" s="73">
        <v>19.5</v>
      </c>
      <c r="B72" s="93">
        <v>96.16438356164385</v>
      </c>
      <c r="L72" s="107"/>
      <c r="M72" s="107"/>
      <c r="N72" s="107"/>
      <c r="O72" s="108"/>
      <c r="P72" s="108"/>
    </row>
    <row r="73" spans="1:16" ht="12.75">
      <c r="A73" s="73">
        <v>20.5</v>
      </c>
      <c r="B73" s="93">
        <v>97.55707762557077</v>
      </c>
      <c r="J73" s="102"/>
      <c r="K73" s="102"/>
      <c r="L73" s="102"/>
      <c r="M73" s="107"/>
      <c r="N73" s="107"/>
      <c r="O73" s="108"/>
      <c r="P73" s="108"/>
    </row>
    <row r="74" spans="1:16" ht="12.75">
      <c r="A74" s="73">
        <v>21.5</v>
      </c>
      <c r="B74" s="93">
        <v>98.50456621004567</v>
      </c>
      <c r="L74" s="107"/>
      <c r="M74" s="107"/>
      <c r="N74" s="107"/>
      <c r="O74" s="108"/>
      <c r="P74" s="108"/>
    </row>
    <row r="75" spans="1:16" ht="12.75">
      <c r="A75" s="73">
        <v>22.5</v>
      </c>
      <c r="B75" s="93">
        <v>99.10958904109589</v>
      </c>
      <c r="L75" s="107"/>
      <c r="M75" s="107"/>
      <c r="N75" s="107"/>
      <c r="O75" s="108"/>
      <c r="P75" s="108"/>
    </row>
    <row r="76" spans="1:16" ht="12.75">
      <c r="A76" s="73">
        <v>23.5</v>
      </c>
      <c r="B76" s="93">
        <v>99.53196347031964</v>
      </c>
      <c r="L76" s="107"/>
      <c r="M76" s="107"/>
      <c r="N76" s="107"/>
      <c r="O76" s="108"/>
      <c r="P76" s="108"/>
    </row>
    <row r="77" spans="1:16" ht="12.75">
      <c r="A77" s="73">
        <v>24.5</v>
      </c>
      <c r="B77" s="93">
        <v>99.76027397260275</v>
      </c>
      <c r="L77" s="107"/>
      <c r="M77" s="107"/>
      <c r="N77" s="107"/>
      <c r="O77" s="103"/>
      <c r="P77" s="108"/>
    </row>
    <row r="78" spans="1:16" ht="12.75">
      <c r="A78" s="73">
        <v>25.5</v>
      </c>
      <c r="B78" s="93">
        <v>99.85159817351598</v>
      </c>
      <c r="L78" s="107"/>
      <c r="M78" s="107"/>
      <c r="N78" s="107"/>
      <c r="O78" s="103"/>
      <c r="P78" s="108"/>
    </row>
    <row r="79" spans="1:16" ht="12.75">
      <c r="A79" s="73">
        <v>26.5</v>
      </c>
      <c r="B79" s="93">
        <v>99.94292237442922</v>
      </c>
      <c r="L79" s="107"/>
      <c r="M79" s="107"/>
      <c r="N79" s="107"/>
      <c r="O79" s="103"/>
      <c r="P79" s="108"/>
    </row>
    <row r="80" spans="1:16" ht="12.75">
      <c r="A80" s="73">
        <v>27.5</v>
      </c>
      <c r="B80" s="93">
        <v>99.95433789954338</v>
      </c>
      <c r="L80" s="107"/>
      <c r="M80" s="107"/>
      <c r="N80" s="107"/>
      <c r="O80" s="103"/>
      <c r="P80" s="108"/>
    </row>
    <row r="81" spans="1:16" ht="12.75">
      <c r="A81" s="73">
        <v>28.5</v>
      </c>
      <c r="B81" s="93">
        <v>100</v>
      </c>
      <c r="L81" s="107"/>
      <c r="M81" s="107"/>
      <c r="N81" s="107"/>
      <c r="O81" s="103"/>
      <c r="P81" s="108"/>
    </row>
    <row r="82" spans="2:16" ht="12.75">
      <c r="B82" s="104"/>
      <c r="L82" s="107"/>
      <c r="M82" s="107"/>
      <c r="N82" s="107"/>
      <c r="O82" s="103"/>
      <c r="P82" s="108"/>
    </row>
    <row r="83" spans="2:16" ht="12.75">
      <c r="B83" s="104"/>
      <c r="L83" s="107"/>
      <c r="M83" s="107"/>
      <c r="N83" s="107"/>
      <c r="O83" s="103"/>
      <c r="P83" s="108"/>
    </row>
    <row r="84" spans="2:16" ht="12.75">
      <c r="B84" s="104"/>
      <c r="L84" s="107"/>
      <c r="M84" s="107"/>
      <c r="N84" s="107"/>
      <c r="O84" s="103"/>
      <c r="P84" s="108"/>
    </row>
    <row r="85" spans="2:16" ht="12.75">
      <c r="B85" s="104"/>
      <c r="L85" s="107"/>
      <c r="M85" s="107"/>
      <c r="N85" s="107"/>
      <c r="O85" s="103"/>
      <c r="P85" s="108"/>
    </row>
    <row r="86" spans="2:16" ht="12.75">
      <c r="B86" s="77"/>
      <c r="L86" s="107"/>
      <c r="M86" s="107"/>
      <c r="N86" s="107"/>
      <c r="O86" s="103"/>
      <c r="P86" s="108"/>
    </row>
    <row r="87" spans="2:16" ht="12.75">
      <c r="B87" s="104"/>
      <c r="L87" s="107"/>
      <c r="M87" s="107"/>
      <c r="N87" s="107"/>
      <c r="O87" s="103"/>
      <c r="P87" s="108"/>
    </row>
    <row r="88" spans="2:16" ht="12.75">
      <c r="B88" s="104"/>
      <c r="L88" s="107"/>
      <c r="M88" s="107"/>
      <c r="N88" s="107"/>
      <c r="O88" s="103"/>
      <c r="P88" s="108"/>
    </row>
    <row r="89" spans="12:16" ht="12.75">
      <c r="L89" s="107"/>
      <c r="M89" s="107"/>
      <c r="N89" s="107"/>
      <c r="O89" s="103"/>
      <c r="P89" s="108"/>
    </row>
    <row r="90" spans="1:16" ht="12.75">
      <c r="A90" s="80"/>
      <c r="L90" s="107"/>
      <c r="M90" s="107"/>
      <c r="N90" s="107"/>
      <c r="O90" s="103"/>
      <c r="P90" s="108"/>
    </row>
    <row r="91" spans="1:16" ht="12.75">
      <c r="A91" s="80"/>
      <c r="L91" s="107"/>
      <c r="M91" s="107"/>
      <c r="N91" s="107"/>
      <c r="O91" s="103"/>
      <c r="P91" s="108"/>
    </row>
    <row r="92" spans="1:16" ht="12.75">
      <c r="A92" s="80"/>
      <c r="L92" s="107"/>
      <c r="M92" s="107"/>
      <c r="N92" s="107"/>
      <c r="O92" s="103"/>
      <c r="P92" s="108"/>
    </row>
    <row r="93" spans="1:16" ht="12.75">
      <c r="A93" s="80"/>
      <c r="L93" s="107"/>
      <c r="M93" s="107"/>
      <c r="N93" s="107"/>
      <c r="O93" s="103"/>
      <c r="P93" s="108"/>
    </row>
    <row r="94" spans="12:16" ht="12.75">
      <c r="L94" s="107"/>
      <c r="M94" s="107"/>
      <c r="N94" s="107"/>
      <c r="O94" s="107"/>
      <c r="P94" s="107"/>
    </row>
    <row r="95" spans="12:16" ht="12.75">
      <c r="L95" s="107"/>
      <c r="M95" s="107"/>
      <c r="N95" s="107"/>
      <c r="O95" s="107"/>
      <c r="P95" s="107"/>
    </row>
    <row r="96" spans="12:16" ht="12.75">
      <c r="L96" s="107"/>
      <c r="M96" s="107"/>
      <c r="N96" s="107"/>
      <c r="O96" s="107"/>
      <c r="P96" s="107"/>
    </row>
    <row r="97" spans="12:16" ht="12.75">
      <c r="L97" s="107"/>
      <c r="M97" s="107"/>
      <c r="N97" s="107"/>
      <c r="O97" s="107"/>
      <c r="P97" s="107"/>
    </row>
  </sheetData>
  <sheetProtection password="94B5" sheet="1" objects="1" scenarios="1" selectLockedCells="1"/>
  <conditionalFormatting sqref="G24:G70">
    <cfRule type="cellIs" priority="1" dxfId="0" operator="lessThan" stopIfTrue="1">
      <formula>$D$24</formula>
    </cfRule>
  </conditionalFormatting>
  <printOptions/>
  <pageMargins left="0.75" right="0.75" top="1" bottom="1" header="0.5" footer="0.5"/>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V97"/>
  <sheetViews>
    <sheetView zoomScalePageLayoutView="0" workbookViewId="0" topLeftCell="A1">
      <selection activeCell="A1" sqref="A1:IV16384"/>
    </sheetView>
  </sheetViews>
  <sheetFormatPr defaultColWidth="8.8515625" defaultRowHeight="12.75"/>
  <cols>
    <col min="1" max="2" width="8.8515625" style="93" customWidth="1"/>
    <col min="3" max="4" width="10.00390625" style="93" customWidth="1"/>
    <col min="5" max="14" width="8.8515625" style="93" customWidth="1"/>
    <col min="15" max="15" width="9.57421875" style="93" bestFit="1" customWidth="1"/>
    <col min="16" max="16384" width="8.8515625" style="93" customWidth="1"/>
  </cols>
  <sheetData>
    <row r="1" spans="1:11" ht="12.75">
      <c r="A1" s="116"/>
      <c r="B1" s="116"/>
      <c r="D1" s="116"/>
      <c r="F1" s="116"/>
      <c r="H1" s="116" t="s">
        <v>36</v>
      </c>
      <c r="I1" s="116" t="s">
        <v>38</v>
      </c>
      <c r="J1" s="116" t="s">
        <v>39</v>
      </c>
      <c r="K1" s="74" t="s">
        <v>97</v>
      </c>
    </row>
    <row r="2" spans="1:7" ht="12.75">
      <c r="A2" s="116"/>
      <c r="G2" s="93" t="s">
        <v>41</v>
      </c>
    </row>
    <row r="3" spans="1:11" ht="12.75">
      <c r="A3" s="116"/>
      <c r="G3" s="117" t="s">
        <v>43</v>
      </c>
      <c r="K3" s="118">
        <f>M18</f>
        <v>9110.831399999995</v>
      </c>
    </row>
    <row r="4" spans="1:11" ht="12.75">
      <c r="A4" s="116"/>
      <c r="G4" s="117" t="s">
        <v>45</v>
      </c>
      <c r="K4" s="118">
        <f>K3-K5</f>
        <v>3737.18999277108</v>
      </c>
    </row>
    <row r="5" spans="7:11" ht="12.75">
      <c r="G5" s="117" t="s">
        <v>49</v>
      </c>
      <c r="K5" s="118">
        <f>O18</f>
        <v>5373.641407228915</v>
      </c>
    </row>
    <row r="6" spans="7:11" ht="12.75">
      <c r="G6" s="117" t="s">
        <v>47</v>
      </c>
      <c r="K6" s="119">
        <f>K5/K3</f>
        <v>0.5898080176556574</v>
      </c>
    </row>
    <row r="7" spans="7:11" ht="12.75">
      <c r="G7" s="117" t="s">
        <v>50</v>
      </c>
      <c r="K7" s="118">
        <f>Q18</f>
        <v>1651.6386000000002</v>
      </c>
    </row>
    <row r="8" spans="7:11" ht="12.75">
      <c r="G8" s="117" t="s">
        <v>48</v>
      </c>
      <c r="K8" s="120">
        <f>Q22</f>
        <v>1333.6875000000005</v>
      </c>
    </row>
    <row r="9" spans="7:11" ht="12.75">
      <c r="G9" s="117" t="s">
        <v>42</v>
      </c>
      <c r="K9" s="120">
        <f>M22</f>
        <v>7356.937499999998</v>
      </c>
    </row>
    <row r="10" spans="7:11" ht="12.75">
      <c r="G10" s="117" t="s">
        <v>51</v>
      </c>
      <c r="K10" s="120">
        <f>N22</f>
        <v>4664.6192771084325</v>
      </c>
    </row>
    <row r="11" spans="7:11" ht="12.75">
      <c r="G11" s="117" t="s">
        <v>52</v>
      </c>
      <c r="K11" s="120">
        <f>O22</f>
        <v>4339.180722891567</v>
      </c>
    </row>
    <row r="12" spans="7:11" ht="12.75">
      <c r="G12" s="117" t="s">
        <v>53</v>
      </c>
      <c r="K12" s="93">
        <f>P14</f>
        <v>43</v>
      </c>
    </row>
    <row r="13" spans="1:22" ht="12.75">
      <c r="A13" s="121"/>
      <c r="B13" s="121"/>
      <c r="C13" s="121"/>
      <c r="D13" s="121"/>
      <c r="E13" s="121"/>
      <c r="F13" s="121"/>
      <c r="G13" s="122" t="s">
        <v>54</v>
      </c>
      <c r="H13" s="121"/>
      <c r="I13" s="121"/>
      <c r="J13" s="121"/>
      <c r="K13" s="121">
        <f>E24</f>
        <v>21</v>
      </c>
      <c r="L13" s="121"/>
      <c r="M13" s="121"/>
      <c r="N13" s="121"/>
      <c r="O13" s="121"/>
      <c r="P13" s="121"/>
      <c r="Q13" s="121"/>
      <c r="R13" s="121"/>
      <c r="S13" s="121"/>
      <c r="T13" s="121"/>
      <c r="U13" s="121"/>
      <c r="V13" s="121"/>
    </row>
    <row r="14" spans="1:22" ht="19.5">
      <c r="A14" s="121"/>
      <c r="B14" s="121"/>
      <c r="C14" s="121"/>
      <c r="D14" s="121"/>
      <c r="E14" s="121"/>
      <c r="F14" s="121"/>
      <c r="G14" s="122" t="s">
        <v>44</v>
      </c>
      <c r="H14" s="121"/>
      <c r="I14" s="121"/>
      <c r="J14" s="121"/>
      <c r="K14" s="121">
        <f>P23</f>
        <v>15</v>
      </c>
      <c r="L14" s="121"/>
      <c r="M14" s="123" t="s">
        <v>127</v>
      </c>
      <c r="N14" s="124">
        <f>N22/M22*I24</f>
        <v>0.5898080176556572</v>
      </c>
      <c r="O14" s="121"/>
      <c r="P14" s="125">
        <f>'Hki-2012'!P14</f>
        <v>43</v>
      </c>
      <c r="Q14" s="125" t="s">
        <v>55</v>
      </c>
      <c r="R14" s="121"/>
      <c r="S14" s="121"/>
      <c r="T14" s="121"/>
      <c r="U14" s="121"/>
      <c r="V14" s="121"/>
    </row>
    <row r="15" spans="1:22" ht="12.75">
      <c r="A15" s="121"/>
      <c r="B15" s="121"/>
      <c r="C15" s="121"/>
      <c r="D15" s="121"/>
      <c r="E15" s="121"/>
      <c r="F15" s="121"/>
      <c r="G15" s="122" t="s">
        <v>56</v>
      </c>
      <c r="H15" s="121"/>
      <c r="I15" s="121"/>
      <c r="J15" s="121"/>
      <c r="K15" s="121">
        <f>D24</f>
        <v>5</v>
      </c>
      <c r="L15" s="121"/>
      <c r="M15" s="121"/>
      <c r="N15" s="121"/>
      <c r="O15" s="121"/>
      <c r="P15" s="121"/>
      <c r="Q15" s="121"/>
      <c r="R15" s="121"/>
      <c r="S15" s="121"/>
      <c r="T15" s="121"/>
      <c r="U15" s="121"/>
      <c r="V15" s="121"/>
    </row>
    <row r="16" spans="1:22" ht="12.75">
      <c r="A16" s="121"/>
      <c r="B16" s="121"/>
      <c r="C16" s="121"/>
      <c r="D16" s="121"/>
      <c r="E16" s="121"/>
      <c r="F16" s="121"/>
      <c r="G16" s="122" t="s">
        <v>46</v>
      </c>
      <c r="H16" s="121"/>
      <c r="I16" s="121"/>
      <c r="J16" s="121"/>
      <c r="K16" s="126">
        <f>K24</f>
        <v>0.7710843373493977</v>
      </c>
      <c r="L16" s="121"/>
      <c r="M16" s="121" t="s">
        <v>57</v>
      </c>
      <c r="N16" s="121"/>
      <c r="O16" s="121" t="s">
        <v>58</v>
      </c>
      <c r="P16" s="121"/>
      <c r="Q16" s="121"/>
      <c r="R16" s="121"/>
      <c r="S16" s="121"/>
      <c r="T16" s="121"/>
      <c r="U16" s="121"/>
      <c r="V16" s="121"/>
    </row>
    <row r="17" spans="1:22" ht="12.75">
      <c r="A17" s="121"/>
      <c r="B17" s="121"/>
      <c r="C17" s="121"/>
      <c r="D17" s="121"/>
      <c r="E17" s="121"/>
      <c r="F17" s="121"/>
      <c r="G17" s="122" t="s">
        <v>59</v>
      </c>
      <c r="H17" s="121"/>
      <c r="I17" s="121"/>
      <c r="J17" s="121"/>
      <c r="K17" s="126">
        <f>I24</f>
        <v>0.930232558139535</v>
      </c>
      <c r="L17" s="121"/>
      <c r="M17" s="121" t="s">
        <v>60</v>
      </c>
      <c r="N17" s="121"/>
      <c r="O17" s="121" t="s">
        <v>61</v>
      </c>
      <c r="P17" s="121"/>
      <c r="Q17" s="121" t="s">
        <v>62</v>
      </c>
      <c r="R17" s="121"/>
      <c r="S17" s="121"/>
      <c r="T17" s="121"/>
      <c r="U17" s="121"/>
      <c r="V17" s="121"/>
    </row>
    <row r="18" spans="1:22" ht="12.75">
      <c r="A18" s="121"/>
      <c r="B18" s="121"/>
      <c r="C18" s="121"/>
      <c r="D18" s="121"/>
      <c r="E18" s="121"/>
      <c r="F18" s="121"/>
      <c r="G18" s="122" t="s">
        <v>63</v>
      </c>
      <c r="H18" s="121"/>
      <c r="I18" s="121"/>
      <c r="J18" s="121"/>
      <c r="K18" s="121">
        <v>12</v>
      </c>
      <c r="L18" s="121"/>
      <c r="M18" s="127">
        <f>P14/1000*1.2*M22*24</f>
        <v>9110.831399999995</v>
      </c>
      <c r="N18" s="127"/>
      <c r="O18" s="127">
        <f>P14/1000*1.2*O22*24</f>
        <v>5373.641407228915</v>
      </c>
      <c r="P18" s="121"/>
      <c r="Q18" s="127">
        <f>P14/1000*1.2*Q22*24</f>
        <v>1651.6386000000002</v>
      </c>
      <c r="R18" s="121"/>
      <c r="S18" s="121"/>
      <c r="T18" s="121"/>
      <c r="U18" s="121"/>
      <c r="V18" s="121"/>
    </row>
    <row r="19" spans="1:22" ht="12.75">
      <c r="A19" s="121"/>
      <c r="B19" s="121"/>
      <c r="C19" s="121"/>
      <c r="D19" s="121"/>
      <c r="E19" s="121"/>
      <c r="F19" s="121"/>
      <c r="G19" s="121"/>
      <c r="H19" s="121"/>
      <c r="I19" s="121"/>
      <c r="J19" s="121"/>
      <c r="K19" s="121"/>
      <c r="L19" s="121"/>
      <c r="M19" s="121" t="s">
        <v>24</v>
      </c>
      <c r="N19" s="121"/>
      <c r="O19" s="121"/>
      <c r="P19" s="121"/>
      <c r="Q19" s="128"/>
      <c r="R19" s="128"/>
      <c r="S19" s="121"/>
      <c r="T19" s="121"/>
      <c r="U19" s="121"/>
      <c r="V19" s="121"/>
    </row>
    <row r="20" spans="1:22" ht="12.75">
      <c r="A20" s="121"/>
      <c r="B20" s="90">
        <v>40669</v>
      </c>
      <c r="C20" s="121"/>
      <c r="D20" s="121"/>
      <c r="E20" s="121"/>
      <c r="F20" s="121"/>
      <c r="G20" s="121"/>
      <c r="H20" s="121"/>
      <c r="I20" s="121"/>
      <c r="J20" s="121"/>
      <c r="K20" s="121"/>
      <c r="L20" s="121"/>
      <c r="M20" s="129" t="s">
        <v>25</v>
      </c>
      <c r="N20" s="129" t="s">
        <v>25</v>
      </c>
      <c r="O20" s="129" t="s">
        <v>26</v>
      </c>
      <c r="P20" s="121" t="s">
        <v>64</v>
      </c>
      <c r="Q20" s="121"/>
      <c r="R20" s="121"/>
      <c r="S20" s="121"/>
      <c r="T20" s="121"/>
      <c r="U20" s="121"/>
      <c r="V20" s="121"/>
    </row>
    <row r="21" spans="1:22" ht="12.75">
      <c r="A21" s="93" t="s">
        <v>97</v>
      </c>
      <c r="B21" s="121"/>
      <c r="C21" s="121"/>
      <c r="D21" s="121"/>
      <c r="E21" s="121"/>
      <c r="F21" s="121"/>
      <c r="G21" s="121"/>
      <c r="H21" s="121"/>
      <c r="I21" s="121"/>
      <c r="J21" s="121"/>
      <c r="K21" s="121"/>
      <c r="L21" s="121"/>
      <c r="M21" s="122" t="s">
        <v>33</v>
      </c>
      <c r="N21" s="122" t="s">
        <v>34</v>
      </c>
      <c r="O21" s="122" t="s">
        <v>35</v>
      </c>
      <c r="P21" s="121"/>
      <c r="Q21" s="121"/>
      <c r="R21" s="125"/>
      <c r="S21" s="121"/>
      <c r="T21" s="121"/>
      <c r="U21" s="121"/>
      <c r="V21" s="121"/>
    </row>
    <row r="22" spans="1:22" ht="19.5">
      <c r="A22" s="122" t="s">
        <v>27</v>
      </c>
      <c r="B22" s="122" t="s">
        <v>28</v>
      </c>
      <c r="C22" s="122" t="s">
        <v>65</v>
      </c>
      <c r="D22" s="122" t="s">
        <v>66</v>
      </c>
      <c r="E22" s="122" t="s">
        <v>29</v>
      </c>
      <c r="F22" s="122" t="s">
        <v>67</v>
      </c>
      <c r="G22" s="122" t="s">
        <v>30</v>
      </c>
      <c r="H22" s="122" t="s">
        <v>31</v>
      </c>
      <c r="I22" s="121" t="s">
        <v>32</v>
      </c>
      <c r="J22" s="123" t="s">
        <v>128</v>
      </c>
      <c r="K22" s="123" t="s">
        <v>129</v>
      </c>
      <c r="L22" s="123" t="s">
        <v>129</v>
      </c>
      <c r="M22" s="130">
        <f>SUM(M23:M90)</f>
        <v>7356.937499999998</v>
      </c>
      <c r="N22" s="130">
        <f>SUM(N23:N90)</f>
        <v>4664.6192771084325</v>
      </c>
      <c r="O22" s="130">
        <f>SUM(O23:O90)</f>
        <v>4339.180722891567</v>
      </c>
      <c r="P22" s="121"/>
      <c r="Q22" s="130">
        <f>SUM(Q23:Q90)</f>
        <v>1333.6875000000005</v>
      </c>
      <c r="R22" s="123" t="s">
        <v>128</v>
      </c>
      <c r="S22" s="122" t="s">
        <v>67</v>
      </c>
      <c r="T22" s="121"/>
      <c r="U22" s="121"/>
      <c r="V22" s="121"/>
    </row>
    <row r="23" spans="1:22" ht="12.75">
      <c r="A23" s="121"/>
      <c r="B23" s="121"/>
      <c r="C23" s="121"/>
      <c r="D23" s="121"/>
      <c r="E23" s="121"/>
      <c r="F23" s="121"/>
      <c r="G23" s="121"/>
      <c r="H23" s="121"/>
      <c r="I23" s="121"/>
      <c r="J23" s="121"/>
      <c r="K23" s="121"/>
      <c r="L23" s="126"/>
      <c r="M23" s="82"/>
      <c r="N23" s="121"/>
      <c r="O23" s="121"/>
      <c r="P23" s="125">
        <f>'Hki-2012'!$P$23</f>
        <v>15</v>
      </c>
      <c r="Q23" s="121"/>
      <c r="R23" s="121"/>
      <c r="S23" s="121"/>
      <c r="T23" s="121"/>
      <c r="U23" s="121"/>
      <c r="V23" s="121"/>
    </row>
    <row r="24" spans="1:22" ht="12.75">
      <c r="A24" s="121">
        <v>-34.5</v>
      </c>
      <c r="B24" s="93">
        <v>0</v>
      </c>
      <c r="C24" s="121">
        <f>'Hki-2012'!$C$24</f>
        <v>21</v>
      </c>
      <c r="D24" s="125">
        <f>'Hki-2012'!D24</f>
        <v>5</v>
      </c>
      <c r="E24" s="125">
        <f>'Hki-2012'!$E$24</f>
        <v>21</v>
      </c>
      <c r="F24" s="131">
        <f aca="true" t="shared" si="0" ref="F24:F55">E24-K24*(E24-A24)</f>
        <v>-21.795180722891573</v>
      </c>
      <c r="G24" s="131">
        <f aca="true" t="shared" si="1" ref="G24:G55">MAX(F24,D24,S24)</f>
        <v>5</v>
      </c>
      <c r="H24" s="131">
        <f aca="true" t="shared" si="2" ref="H24:H55">A24+J24*(E24-A24)</f>
        <v>-17.300000000000004</v>
      </c>
      <c r="I24" s="132">
        <f>'Hki-2012'!$I$24</f>
        <v>0.930232558139535</v>
      </c>
      <c r="J24" s="126">
        <f aca="true" t="shared" si="3" ref="J24:J55">L24/I24</f>
        <v>0.30990990990990985</v>
      </c>
      <c r="K24" s="132">
        <f>'Hki-2012'!$K$24</f>
        <v>0.7710843373493977</v>
      </c>
      <c r="L24" s="126">
        <f aca="true" t="shared" si="4" ref="L24:L55">(E24-G24)/(E24-A24)</f>
        <v>0.2882882882882883</v>
      </c>
      <c r="M24" s="130">
        <f aca="true" t="shared" si="5" ref="M24:M55">MAX((B24-B23)/100*365*(E24-A24),0)</f>
        <v>0</v>
      </c>
      <c r="N24" s="130">
        <f aca="true" t="shared" si="6" ref="N24:N55">MAX((B24-B23)/100*365*(H24-A24),0)</f>
        <v>0</v>
      </c>
      <c r="O24" s="130">
        <f aca="true" t="shared" si="7" ref="O24:O55">MAX((B24-B23)/100*365*(E24-G24),0)</f>
        <v>0</v>
      </c>
      <c r="P24" s="131">
        <f aca="true" t="shared" si="8" ref="P24:P55">MAX(0,P$23-H24)</f>
        <v>32.300000000000004</v>
      </c>
      <c r="Q24" s="131">
        <f aca="true" t="shared" si="9" ref="Q24:Q55">(B24-B23)/100*365*P24</f>
        <v>0</v>
      </c>
      <c r="R24" s="133">
        <f aca="true" t="shared" si="10" ref="R24:R55">MAX((C24-A24)/(E24-A24),0)</f>
        <v>1</v>
      </c>
      <c r="S24" s="121">
        <f aca="true" t="shared" si="11" ref="S24:S55">E24-R24*I24*(E24-A24)</f>
        <v>-30.627906976744192</v>
      </c>
      <c r="T24" s="121"/>
      <c r="U24" s="121"/>
      <c r="V24" s="121"/>
    </row>
    <row r="25" spans="1:22" ht="12.75">
      <c r="A25" s="121">
        <v>-33.5</v>
      </c>
      <c r="B25" s="93">
        <v>0.091324200913242</v>
      </c>
      <c r="C25" s="121">
        <f aca="true" t="shared" si="12" ref="C25:C56">C24</f>
        <v>21</v>
      </c>
      <c r="D25" s="121">
        <f aca="true" t="shared" si="13" ref="D25:D56">D24</f>
        <v>5</v>
      </c>
      <c r="E25" s="121">
        <f aca="true" t="shared" si="14" ref="E25:E56">E24</f>
        <v>21</v>
      </c>
      <c r="F25" s="131">
        <f t="shared" si="0"/>
        <v>-21.02409638554218</v>
      </c>
      <c r="G25" s="131">
        <f t="shared" si="1"/>
        <v>5</v>
      </c>
      <c r="H25" s="131">
        <f t="shared" si="2"/>
        <v>-16.3</v>
      </c>
      <c r="I25" s="126">
        <f aca="true" t="shared" si="15" ref="I25:I56">I24</f>
        <v>0.930232558139535</v>
      </c>
      <c r="J25" s="126">
        <f t="shared" si="3"/>
        <v>0.3155963302752293</v>
      </c>
      <c r="K25" s="126">
        <f aca="true" t="shared" si="16" ref="K25:K56">K24</f>
        <v>0.7710843373493977</v>
      </c>
      <c r="L25" s="126">
        <f t="shared" si="4"/>
        <v>0.29357798165137616</v>
      </c>
      <c r="M25" s="130">
        <f t="shared" si="5"/>
        <v>18.166666666666664</v>
      </c>
      <c r="N25" s="130">
        <f t="shared" si="6"/>
        <v>5.7333333333333325</v>
      </c>
      <c r="O25" s="130">
        <f t="shared" si="7"/>
        <v>5.333333333333333</v>
      </c>
      <c r="P25" s="131">
        <f t="shared" si="8"/>
        <v>31.3</v>
      </c>
      <c r="Q25" s="131">
        <f t="shared" si="9"/>
        <v>10.433333333333334</v>
      </c>
      <c r="R25" s="133">
        <f t="shared" si="10"/>
        <v>1</v>
      </c>
      <c r="S25" s="121">
        <f t="shared" si="11"/>
        <v>-29.697674418604656</v>
      </c>
      <c r="T25" s="121"/>
      <c r="U25" s="121"/>
      <c r="V25" s="121"/>
    </row>
    <row r="26" spans="1:22" ht="12.75">
      <c r="A26" s="121">
        <v>-32.5</v>
      </c>
      <c r="B26" s="93">
        <v>0.2054794520547945</v>
      </c>
      <c r="C26" s="121">
        <f t="shared" si="12"/>
        <v>21</v>
      </c>
      <c r="D26" s="121">
        <f t="shared" si="13"/>
        <v>5</v>
      </c>
      <c r="E26" s="121">
        <f t="shared" si="14"/>
        <v>21</v>
      </c>
      <c r="F26" s="131">
        <f t="shared" si="0"/>
        <v>-20.25301204819278</v>
      </c>
      <c r="G26" s="131">
        <f t="shared" si="1"/>
        <v>5</v>
      </c>
      <c r="H26" s="131">
        <f t="shared" si="2"/>
        <v>-15.3</v>
      </c>
      <c r="I26" s="126">
        <f t="shared" si="15"/>
        <v>0.930232558139535</v>
      </c>
      <c r="J26" s="126">
        <f t="shared" si="3"/>
        <v>0.3214953271028037</v>
      </c>
      <c r="K26" s="126">
        <f t="shared" si="16"/>
        <v>0.7710843373493977</v>
      </c>
      <c r="L26" s="126">
        <f t="shared" si="4"/>
        <v>0.29906542056074764</v>
      </c>
      <c r="M26" s="130">
        <f t="shared" si="5"/>
        <v>22.291666666666664</v>
      </c>
      <c r="N26" s="130">
        <f t="shared" si="6"/>
        <v>7.166666666666666</v>
      </c>
      <c r="O26" s="130">
        <f t="shared" si="7"/>
        <v>6.666666666666666</v>
      </c>
      <c r="P26" s="131">
        <f t="shared" si="8"/>
        <v>30.3</v>
      </c>
      <c r="Q26" s="131">
        <f t="shared" si="9"/>
        <v>12.625</v>
      </c>
      <c r="R26" s="133">
        <f t="shared" si="10"/>
        <v>1</v>
      </c>
      <c r="S26" s="121">
        <f t="shared" si="11"/>
        <v>-28.76744186046512</v>
      </c>
      <c r="T26" s="121"/>
      <c r="U26" s="121"/>
      <c r="V26" s="121"/>
    </row>
    <row r="27" spans="1:22" ht="12.75">
      <c r="A27" s="121">
        <v>-31.5</v>
      </c>
      <c r="B27" s="93">
        <v>0.5136986301369862</v>
      </c>
      <c r="C27" s="121">
        <f t="shared" si="12"/>
        <v>21</v>
      </c>
      <c r="D27" s="121">
        <f t="shared" si="13"/>
        <v>5</v>
      </c>
      <c r="E27" s="121">
        <f t="shared" si="14"/>
        <v>21</v>
      </c>
      <c r="F27" s="131">
        <f t="shared" si="0"/>
        <v>-19.48192771084338</v>
      </c>
      <c r="G27" s="131">
        <f t="shared" si="1"/>
        <v>5</v>
      </c>
      <c r="H27" s="131">
        <f t="shared" si="2"/>
        <v>-14.3</v>
      </c>
      <c r="I27" s="126">
        <f t="shared" si="15"/>
        <v>0.930232558139535</v>
      </c>
      <c r="J27" s="126">
        <f t="shared" si="3"/>
        <v>0.3276190476190476</v>
      </c>
      <c r="K27" s="126">
        <f t="shared" si="16"/>
        <v>0.7710843373493977</v>
      </c>
      <c r="L27" s="126">
        <f t="shared" si="4"/>
        <v>0.3047619047619048</v>
      </c>
      <c r="M27" s="130">
        <f t="shared" si="5"/>
        <v>59.062499999999986</v>
      </c>
      <c r="N27" s="130">
        <f t="shared" si="6"/>
        <v>19.349999999999994</v>
      </c>
      <c r="O27" s="130">
        <f t="shared" si="7"/>
        <v>17.999999999999996</v>
      </c>
      <c r="P27" s="131">
        <f t="shared" si="8"/>
        <v>29.3</v>
      </c>
      <c r="Q27" s="131">
        <f t="shared" si="9"/>
        <v>32.96249999999999</v>
      </c>
      <c r="R27" s="133">
        <f t="shared" si="10"/>
        <v>1</v>
      </c>
      <c r="S27" s="121">
        <f t="shared" si="11"/>
        <v>-27.83720930232559</v>
      </c>
      <c r="T27" s="121"/>
      <c r="U27" s="121"/>
      <c r="V27" s="121"/>
    </row>
    <row r="28" spans="1:19" ht="12.75">
      <c r="A28" s="93">
        <v>-30.5</v>
      </c>
      <c r="B28" s="93">
        <v>0.8789954337899543</v>
      </c>
      <c r="C28" s="93">
        <f t="shared" si="12"/>
        <v>21</v>
      </c>
      <c r="D28" s="93">
        <f t="shared" si="13"/>
        <v>5</v>
      </c>
      <c r="E28" s="93">
        <f t="shared" si="14"/>
        <v>21</v>
      </c>
      <c r="F28" s="134">
        <f t="shared" si="0"/>
        <v>-18.710843373493987</v>
      </c>
      <c r="G28" s="134">
        <f t="shared" si="1"/>
        <v>5</v>
      </c>
      <c r="H28" s="134">
        <f t="shared" si="2"/>
        <v>-13.300000000000004</v>
      </c>
      <c r="I28" s="135">
        <f t="shared" si="15"/>
        <v>0.930232558139535</v>
      </c>
      <c r="J28" s="135">
        <f t="shared" si="3"/>
        <v>0.33398058252427176</v>
      </c>
      <c r="K28" s="135">
        <f t="shared" si="16"/>
        <v>0.7710843373493977</v>
      </c>
      <c r="L28" s="136">
        <f t="shared" si="4"/>
        <v>0.3106796116504854</v>
      </c>
      <c r="M28" s="137">
        <f t="shared" si="5"/>
        <v>68.66666666666666</v>
      </c>
      <c r="N28" s="137">
        <f t="shared" si="6"/>
        <v>22.933333333333326</v>
      </c>
      <c r="O28" s="137">
        <f t="shared" si="7"/>
        <v>21.333333333333332</v>
      </c>
      <c r="P28" s="134">
        <f t="shared" si="8"/>
        <v>28.300000000000004</v>
      </c>
      <c r="Q28" s="134">
        <f t="shared" si="9"/>
        <v>37.733333333333334</v>
      </c>
      <c r="R28" s="138">
        <f t="shared" si="10"/>
        <v>1</v>
      </c>
      <c r="S28" s="93">
        <f t="shared" si="11"/>
        <v>-26.906976744186053</v>
      </c>
    </row>
    <row r="29" spans="1:19" ht="12.75">
      <c r="A29" s="93">
        <v>-29.5</v>
      </c>
      <c r="B29" s="93">
        <v>1.3584474885844748</v>
      </c>
      <c r="C29" s="93">
        <f t="shared" si="12"/>
        <v>21</v>
      </c>
      <c r="D29" s="93">
        <f t="shared" si="13"/>
        <v>5</v>
      </c>
      <c r="E29" s="93">
        <f t="shared" si="14"/>
        <v>21</v>
      </c>
      <c r="F29" s="134">
        <f t="shared" si="0"/>
        <v>-17.939759036144586</v>
      </c>
      <c r="G29" s="134">
        <f t="shared" si="1"/>
        <v>5</v>
      </c>
      <c r="H29" s="134">
        <f t="shared" si="2"/>
        <v>-12.3</v>
      </c>
      <c r="I29" s="135">
        <f t="shared" si="15"/>
        <v>0.930232558139535</v>
      </c>
      <c r="J29" s="135">
        <f t="shared" si="3"/>
        <v>0.34059405940594056</v>
      </c>
      <c r="K29" s="135">
        <f t="shared" si="16"/>
        <v>0.7710843373493977</v>
      </c>
      <c r="L29" s="136">
        <f t="shared" si="4"/>
        <v>0.31683168316831684</v>
      </c>
      <c r="M29" s="137">
        <f t="shared" si="5"/>
        <v>88.375</v>
      </c>
      <c r="N29" s="137">
        <f t="shared" si="6"/>
        <v>30.099999999999998</v>
      </c>
      <c r="O29" s="137">
        <f t="shared" si="7"/>
        <v>28</v>
      </c>
      <c r="P29" s="134">
        <f t="shared" si="8"/>
        <v>27.3</v>
      </c>
      <c r="Q29" s="134">
        <f t="shared" si="9"/>
        <v>47.775</v>
      </c>
      <c r="R29" s="138">
        <f t="shared" si="10"/>
        <v>1</v>
      </c>
      <c r="S29" s="93">
        <f t="shared" si="11"/>
        <v>-25.976744186046517</v>
      </c>
    </row>
    <row r="30" spans="1:19" ht="12.75">
      <c r="A30" s="93">
        <v>-28.5</v>
      </c>
      <c r="B30" s="93">
        <v>1.7579908675799085</v>
      </c>
      <c r="C30" s="93">
        <f t="shared" si="12"/>
        <v>21</v>
      </c>
      <c r="D30" s="93">
        <f t="shared" si="13"/>
        <v>5</v>
      </c>
      <c r="E30" s="93">
        <f t="shared" si="14"/>
        <v>21</v>
      </c>
      <c r="F30" s="134">
        <f t="shared" si="0"/>
        <v>-17.168674698795186</v>
      </c>
      <c r="G30" s="134">
        <f t="shared" si="1"/>
        <v>5</v>
      </c>
      <c r="H30" s="134">
        <f t="shared" si="2"/>
        <v>-11.3</v>
      </c>
      <c r="I30" s="135">
        <f t="shared" si="15"/>
        <v>0.930232558139535</v>
      </c>
      <c r="J30" s="135">
        <f t="shared" si="3"/>
        <v>0.3474747474747475</v>
      </c>
      <c r="K30" s="135">
        <f t="shared" si="16"/>
        <v>0.7710843373493977</v>
      </c>
      <c r="L30" s="136">
        <f t="shared" si="4"/>
        <v>0.32323232323232326</v>
      </c>
      <c r="M30" s="137">
        <f t="shared" si="5"/>
        <v>72.18749999999999</v>
      </c>
      <c r="N30" s="137">
        <f t="shared" si="6"/>
        <v>25.08333333333333</v>
      </c>
      <c r="O30" s="137">
        <f t="shared" si="7"/>
        <v>23.33333333333333</v>
      </c>
      <c r="P30" s="134">
        <f t="shared" si="8"/>
        <v>26.3</v>
      </c>
      <c r="Q30" s="134">
        <f t="shared" si="9"/>
        <v>38.35416666666666</v>
      </c>
      <c r="R30" s="138">
        <f t="shared" si="10"/>
        <v>1</v>
      </c>
      <c r="S30" s="93">
        <f t="shared" si="11"/>
        <v>-25.04651162790698</v>
      </c>
    </row>
    <row r="31" spans="1:19" ht="12.75">
      <c r="A31" s="93">
        <v>-27.5</v>
      </c>
      <c r="B31" s="93">
        <v>2.191780821917808</v>
      </c>
      <c r="C31" s="93">
        <f t="shared" si="12"/>
        <v>21</v>
      </c>
      <c r="D31" s="93">
        <f t="shared" si="13"/>
        <v>5</v>
      </c>
      <c r="E31" s="93">
        <f t="shared" si="14"/>
        <v>21</v>
      </c>
      <c r="F31" s="134">
        <f t="shared" si="0"/>
        <v>-16.397590361445793</v>
      </c>
      <c r="G31" s="134">
        <f t="shared" si="1"/>
        <v>5</v>
      </c>
      <c r="H31" s="134">
        <f t="shared" si="2"/>
        <v>-10.3</v>
      </c>
      <c r="I31" s="135">
        <f t="shared" si="15"/>
        <v>0.930232558139535</v>
      </c>
      <c r="J31" s="135">
        <f t="shared" si="3"/>
        <v>0.3546391752577319</v>
      </c>
      <c r="K31" s="135">
        <f t="shared" si="16"/>
        <v>0.7710843373493977</v>
      </c>
      <c r="L31" s="136">
        <f t="shared" si="4"/>
        <v>0.32989690721649484</v>
      </c>
      <c r="M31" s="137">
        <f t="shared" si="5"/>
        <v>76.79166666666667</v>
      </c>
      <c r="N31" s="137">
        <f t="shared" si="6"/>
        <v>27.233333333333334</v>
      </c>
      <c r="O31" s="137">
        <f t="shared" si="7"/>
        <v>25.333333333333336</v>
      </c>
      <c r="P31" s="134">
        <f t="shared" si="8"/>
        <v>25.3</v>
      </c>
      <c r="Q31" s="134">
        <f t="shared" si="9"/>
        <v>40.05833333333334</v>
      </c>
      <c r="R31" s="138">
        <f t="shared" si="10"/>
        <v>1</v>
      </c>
      <c r="S31" s="93">
        <f t="shared" si="11"/>
        <v>-24.116279069767444</v>
      </c>
    </row>
    <row r="32" spans="1:19" ht="12.75">
      <c r="A32" s="93">
        <v>-26.5</v>
      </c>
      <c r="B32" s="93">
        <v>2.5228310502283104</v>
      </c>
      <c r="C32" s="93">
        <f t="shared" si="12"/>
        <v>21</v>
      </c>
      <c r="D32" s="93">
        <f t="shared" si="13"/>
        <v>5</v>
      </c>
      <c r="E32" s="93">
        <f t="shared" si="14"/>
        <v>21</v>
      </c>
      <c r="F32" s="134">
        <f t="shared" si="0"/>
        <v>-15.626506024096393</v>
      </c>
      <c r="G32" s="134">
        <f t="shared" si="1"/>
        <v>5</v>
      </c>
      <c r="H32" s="134">
        <f t="shared" si="2"/>
        <v>-9.3</v>
      </c>
      <c r="I32" s="135">
        <f t="shared" si="15"/>
        <v>0.930232558139535</v>
      </c>
      <c r="J32" s="135">
        <f t="shared" si="3"/>
        <v>0.3621052631578947</v>
      </c>
      <c r="K32" s="135">
        <f t="shared" si="16"/>
        <v>0.7710843373493977</v>
      </c>
      <c r="L32" s="136">
        <f t="shared" si="4"/>
        <v>0.3368421052631579</v>
      </c>
      <c r="M32" s="137">
        <f t="shared" si="5"/>
        <v>57.39583333333335</v>
      </c>
      <c r="N32" s="137">
        <f t="shared" si="6"/>
        <v>20.78333333333334</v>
      </c>
      <c r="O32" s="137">
        <f t="shared" si="7"/>
        <v>19.33333333333334</v>
      </c>
      <c r="P32" s="134">
        <f t="shared" si="8"/>
        <v>24.3</v>
      </c>
      <c r="Q32" s="134">
        <f t="shared" si="9"/>
        <v>29.36250000000001</v>
      </c>
      <c r="R32" s="138">
        <f t="shared" si="10"/>
        <v>1</v>
      </c>
      <c r="S32" s="93">
        <f t="shared" si="11"/>
        <v>-23.186046511627914</v>
      </c>
    </row>
    <row r="33" spans="1:19" ht="12.75">
      <c r="A33" s="93">
        <v>-25.5</v>
      </c>
      <c r="B33" s="93">
        <v>3.105022831050228</v>
      </c>
      <c r="C33" s="93">
        <f t="shared" si="12"/>
        <v>21</v>
      </c>
      <c r="D33" s="93">
        <f t="shared" si="13"/>
        <v>5</v>
      </c>
      <c r="E33" s="93">
        <f t="shared" si="14"/>
        <v>21</v>
      </c>
      <c r="F33" s="134">
        <f t="shared" si="0"/>
        <v>-14.855421686746993</v>
      </c>
      <c r="G33" s="134">
        <f t="shared" si="1"/>
        <v>5</v>
      </c>
      <c r="H33" s="134">
        <f t="shared" si="2"/>
        <v>-8.3</v>
      </c>
      <c r="I33" s="135">
        <f t="shared" si="15"/>
        <v>0.930232558139535</v>
      </c>
      <c r="J33" s="135">
        <f t="shared" si="3"/>
        <v>0.36989247311827955</v>
      </c>
      <c r="K33" s="135">
        <f t="shared" si="16"/>
        <v>0.7710843373493977</v>
      </c>
      <c r="L33" s="136">
        <f t="shared" si="4"/>
        <v>0.34408602150537637</v>
      </c>
      <c r="M33" s="137">
        <f t="shared" si="5"/>
        <v>98.81249999999999</v>
      </c>
      <c r="N33" s="137">
        <f t="shared" si="6"/>
        <v>36.54999999999999</v>
      </c>
      <c r="O33" s="137">
        <f t="shared" si="7"/>
        <v>33.99999999999999</v>
      </c>
      <c r="P33" s="134">
        <f t="shared" si="8"/>
        <v>23.3</v>
      </c>
      <c r="Q33" s="134">
        <f t="shared" si="9"/>
        <v>49.51249999999999</v>
      </c>
      <c r="R33" s="138">
        <f t="shared" si="10"/>
        <v>1</v>
      </c>
      <c r="S33" s="93">
        <f t="shared" si="11"/>
        <v>-22.255813953488378</v>
      </c>
    </row>
    <row r="34" spans="1:19" ht="12.75">
      <c r="A34" s="93">
        <v>-24.5</v>
      </c>
      <c r="B34" s="93">
        <v>3.881278538812785</v>
      </c>
      <c r="C34" s="93">
        <f t="shared" si="12"/>
        <v>21</v>
      </c>
      <c r="D34" s="93">
        <f t="shared" si="13"/>
        <v>5</v>
      </c>
      <c r="E34" s="93">
        <f t="shared" si="14"/>
        <v>21</v>
      </c>
      <c r="F34" s="134">
        <f t="shared" si="0"/>
        <v>-14.0843373493976</v>
      </c>
      <c r="G34" s="134">
        <f t="shared" si="1"/>
        <v>5</v>
      </c>
      <c r="H34" s="134">
        <f t="shared" si="2"/>
        <v>-7.300000000000001</v>
      </c>
      <c r="I34" s="135">
        <f t="shared" si="15"/>
        <v>0.930232558139535</v>
      </c>
      <c r="J34" s="135">
        <f t="shared" si="3"/>
        <v>0.378021978021978</v>
      </c>
      <c r="K34" s="135">
        <f t="shared" si="16"/>
        <v>0.7710843373493977</v>
      </c>
      <c r="L34" s="136">
        <f t="shared" si="4"/>
        <v>0.3516483516483517</v>
      </c>
      <c r="M34" s="137">
        <f t="shared" si="5"/>
        <v>128.91666666666663</v>
      </c>
      <c r="N34" s="137">
        <f t="shared" si="6"/>
        <v>48.73333333333332</v>
      </c>
      <c r="O34" s="137">
        <f t="shared" si="7"/>
        <v>45.33333333333332</v>
      </c>
      <c r="P34" s="134">
        <f t="shared" si="8"/>
        <v>22.3</v>
      </c>
      <c r="Q34" s="134">
        <f t="shared" si="9"/>
        <v>63.183333333333316</v>
      </c>
      <c r="R34" s="138">
        <f t="shared" si="10"/>
        <v>1</v>
      </c>
      <c r="S34" s="93">
        <f t="shared" si="11"/>
        <v>-21.32558139534884</v>
      </c>
    </row>
    <row r="35" spans="1:19" ht="12.75">
      <c r="A35" s="93">
        <v>-23.5</v>
      </c>
      <c r="B35" s="93">
        <v>4.5662100456621</v>
      </c>
      <c r="C35" s="93">
        <f t="shared" si="12"/>
        <v>21</v>
      </c>
      <c r="D35" s="93">
        <f t="shared" si="13"/>
        <v>5</v>
      </c>
      <c r="E35" s="93">
        <f t="shared" si="14"/>
        <v>21</v>
      </c>
      <c r="F35" s="134">
        <f t="shared" si="0"/>
        <v>-13.3132530120482</v>
      </c>
      <c r="G35" s="134">
        <f t="shared" si="1"/>
        <v>5</v>
      </c>
      <c r="H35" s="134">
        <f t="shared" si="2"/>
        <v>-6.300000000000001</v>
      </c>
      <c r="I35" s="135">
        <f t="shared" si="15"/>
        <v>0.930232558139535</v>
      </c>
      <c r="J35" s="135">
        <f t="shared" si="3"/>
        <v>0.3865168539325842</v>
      </c>
      <c r="K35" s="135">
        <f t="shared" si="16"/>
        <v>0.7710843373493977</v>
      </c>
      <c r="L35" s="136">
        <f t="shared" si="4"/>
        <v>0.3595505617977528</v>
      </c>
      <c r="M35" s="137">
        <f t="shared" si="5"/>
        <v>111.24999999999994</v>
      </c>
      <c r="N35" s="137">
        <f t="shared" si="6"/>
        <v>42.99999999999998</v>
      </c>
      <c r="O35" s="137">
        <f t="shared" si="7"/>
        <v>39.99999999999998</v>
      </c>
      <c r="P35" s="134">
        <f t="shared" si="8"/>
        <v>21.3</v>
      </c>
      <c r="Q35" s="134">
        <f t="shared" si="9"/>
        <v>53.24999999999997</v>
      </c>
      <c r="R35" s="138">
        <f t="shared" si="10"/>
        <v>1</v>
      </c>
      <c r="S35" s="93">
        <f t="shared" si="11"/>
        <v>-20.395348837209305</v>
      </c>
    </row>
    <row r="36" spans="1:19" ht="12.75">
      <c r="A36" s="93">
        <v>-22.5</v>
      </c>
      <c r="B36" s="93">
        <v>5.182648401826484</v>
      </c>
      <c r="C36" s="93">
        <f t="shared" si="12"/>
        <v>21</v>
      </c>
      <c r="D36" s="93">
        <f t="shared" si="13"/>
        <v>5</v>
      </c>
      <c r="E36" s="93">
        <f t="shared" si="14"/>
        <v>21</v>
      </c>
      <c r="F36" s="134">
        <f t="shared" si="0"/>
        <v>-12.5421686746988</v>
      </c>
      <c r="G36" s="134">
        <f t="shared" si="1"/>
        <v>5</v>
      </c>
      <c r="H36" s="134">
        <f t="shared" si="2"/>
        <v>-5.300000000000004</v>
      </c>
      <c r="I36" s="135">
        <f t="shared" si="15"/>
        <v>0.930232558139535</v>
      </c>
      <c r="J36" s="135">
        <f t="shared" si="3"/>
        <v>0.39540229885057465</v>
      </c>
      <c r="K36" s="135">
        <f t="shared" si="16"/>
        <v>0.7710843373493977</v>
      </c>
      <c r="L36" s="136">
        <f t="shared" si="4"/>
        <v>0.367816091954023</v>
      </c>
      <c r="M36" s="137">
        <f t="shared" si="5"/>
        <v>97.87500000000004</v>
      </c>
      <c r="N36" s="137">
        <f t="shared" si="6"/>
        <v>38.7</v>
      </c>
      <c r="O36" s="137">
        <f t="shared" si="7"/>
        <v>36.000000000000014</v>
      </c>
      <c r="P36" s="134">
        <f t="shared" si="8"/>
        <v>20.300000000000004</v>
      </c>
      <c r="Q36" s="134">
        <f t="shared" si="9"/>
        <v>45.675000000000026</v>
      </c>
      <c r="R36" s="138">
        <f t="shared" si="10"/>
        <v>1</v>
      </c>
      <c r="S36" s="93">
        <f t="shared" si="11"/>
        <v>-19.46511627906977</v>
      </c>
    </row>
    <row r="37" spans="1:19" ht="12.75">
      <c r="A37" s="93">
        <v>-21.5</v>
      </c>
      <c r="B37" s="93">
        <v>5.787671232876712</v>
      </c>
      <c r="C37" s="93">
        <f t="shared" si="12"/>
        <v>21</v>
      </c>
      <c r="D37" s="93">
        <f t="shared" si="13"/>
        <v>5</v>
      </c>
      <c r="E37" s="93">
        <f t="shared" si="14"/>
        <v>21</v>
      </c>
      <c r="F37" s="134">
        <f t="shared" si="0"/>
        <v>-11.771084337349407</v>
      </c>
      <c r="G37" s="134">
        <f t="shared" si="1"/>
        <v>5</v>
      </c>
      <c r="H37" s="134">
        <f t="shared" si="2"/>
        <v>-4.300000000000001</v>
      </c>
      <c r="I37" s="135">
        <f t="shared" si="15"/>
        <v>0.930232558139535</v>
      </c>
      <c r="J37" s="135">
        <f t="shared" si="3"/>
        <v>0.40470588235294114</v>
      </c>
      <c r="K37" s="135">
        <f t="shared" si="16"/>
        <v>0.7710843373493977</v>
      </c>
      <c r="L37" s="136">
        <f t="shared" si="4"/>
        <v>0.3764705882352941</v>
      </c>
      <c r="M37" s="137">
        <f t="shared" si="5"/>
        <v>93.85416666666671</v>
      </c>
      <c r="N37" s="137">
        <f t="shared" si="6"/>
        <v>37.98333333333335</v>
      </c>
      <c r="O37" s="137">
        <f t="shared" si="7"/>
        <v>35.33333333333335</v>
      </c>
      <c r="P37" s="134">
        <f t="shared" si="8"/>
        <v>19.3</v>
      </c>
      <c r="Q37" s="134">
        <f t="shared" si="9"/>
        <v>42.62083333333336</v>
      </c>
      <c r="R37" s="138">
        <f t="shared" si="10"/>
        <v>1</v>
      </c>
      <c r="S37" s="93">
        <f t="shared" si="11"/>
        <v>-18.53488372093024</v>
      </c>
    </row>
    <row r="38" spans="1:19" ht="12.75">
      <c r="A38" s="93">
        <v>-20.5</v>
      </c>
      <c r="B38" s="93">
        <v>6.4840182648401825</v>
      </c>
      <c r="C38" s="93">
        <f t="shared" si="12"/>
        <v>21</v>
      </c>
      <c r="D38" s="93">
        <f t="shared" si="13"/>
        <v>5</v>
      </c>
      <c r="E38" s="93">
        <f t="shared" si="14"/>
        <v>21</v>
      </c>
      <c r="F38" s="134">
        <f t="shared" si="0"/>
        <v>-11.000000000000007</v>
      </c>
      <c r="G38" s="134">
        <f t="shared" si="1"/>
        <v>5</v>
      </c>
      <c r="H38" s="134">
        <f t="shared" si="2"/>
        <v>-3.3000000000000007</v>
      </c>
      <c r="I38" s="135">
        <f t="shared" si="15"/>
        <v>0.930232558139535</v>
      </c>
      <c r="J38" s="135">
        <f t="shared" si="3"/>
        <v>0.4144578313253012</v>
      </c>
      <c r="K38" s="135">
        <f t="shared" si="16"/>
        <v>0.7710843373493977</v>
      </c>
      <c r="L38" s="136">
        <f t="shared" si="4"/>
        <v>0.3855421686746988</v>
      </c>
      <c r="M38" s="137">
        <f t="shared" si="5"/>
        <v>105.47916666666669</v>
      </c>
      <c r="N38" s="137">
        <f t="shared" si="6"/>
        <v>43.71666666666667</v>
      </c>
      <c r="O38" s="137">
        <f t="shared" si="7"/>
        <v>40.66666666666667</v>
      </c>
      <c r="P38" s="134">
        <f t="shared" si="8"/>
        <v>18.3</v>
      </c>
      <c r="Q38" s="134">
        <f t="shared" si="9"/>
        <v>46.51250000000001</v>
      </c>
      <c r="R38" s="138">
        <f t="shared" si="10"/>
        <v>1</v>
      </c>
      <c r="S38" s="93">
        <f t="shared" si="11"/>
        <v>-17.604651162790702</v>
      </c>
    </row>
    <row r="39" spans="1:19" ht="12.75">
      <c r="A39" s="93">
        <v>-19.5</v>
      </c>
      <c r="B39" s="93">
        <v>7.237442922374429</v>
      </c>
      <c r="C39" s="93">
        <f t="shared" si="12"/>
        <v>21</v>
      </c>
      <c r="D39" s="93">
        <f t="shared" si="13"/>
        <v>5</v>
      </c>
      <c r="E39" s="93">
        <f t="shared" si="14"/>
        <v>21</v>
      </c>
      <c r="F39" s="134">
        <f t="shared" si="0"/>
        <v>-10.228915662650607</v>
      </c>
      <c r="G39" s="134">
        <f t="shared" si="1"/>
        <v>5</v>
      </c>
      <c r="H39" s="134">
        <f t="shared" si="2"/>
        <v>-2.3000000000000043</v>
      </c>
      <c r="I39" s="135">
        <f t="shared" si="15"/>
        <v>0.930232558139535</v>
      </c>
      <c r="J39" s="135">
        <f t="shared" si="3"/>
        <v>0.42469135802469127</v>
      </c>
      <c r="K39" s="135">
        <f t="shared" si="16"/>
        <v>0.7710843373493977</v>
      </c>
      <c r="L39" s="136">
        <f t="shared" si="4"/>
        <v>0.3950617283950617</v>
      </c>
      <c r="M39" s="137">
        <f t="shared" si="5"/>
        <v>111.375</v>
      </c>
      <c r="N39" s="137">
        <f t="shared" si="6"/>
        <v>47.29999999999999</v>
      </c>
      <c r="O39" s="137">
        <f t="shared" si="7"/>
        <v>44</v>
      </c>
      <c r="P39" s="134">
        <f t="shared" si="8"/>
        <v>17.300000000000004</v>
      </c>
      <c r="Q39" s="134">
        <f t="shared" si="9"/>
        <v>47.57500000000001</v>
      </c>
      <c r="R39" s="138">
        <f t="shared" si="10"/>
        <v>1</v>
      </c>
      <c r="S39" s="93">
        <f t="shared" si="11"/>
        <v>-16.674418604651166</v>
      </c>
    </row>
    <row r="40" spans="1:19" ht="12.75">
      <c r="A40" s="93">
        <v>-18.5</v>
      </c>
      <c r="B40" s="93">
        <v>7.922374429223744</v>
      </c>
      <c r="C40" s="93">
        <f t="shared" si="12"/>
        <v>21</v>
      </c>
      <c r="D40" s="93">
        <f t="shared" si="13"/>
        <v>5</v>
      </c>
      <c r="E40" s="93">
        <f t="shared" si="14"/>
        <v>21</v>
      </c>
      <c r="F40" s="134">
        <f t="shared" si="0"/>
        <v>-9.45783132530121</v>
      </c>
      <c r="G40" s="134">
        <f t="shared" si="1"/>
        <v>5</v>
      </c>
      <c r="H40" s="134">
        <f t="shared" si="2"/>
        <v>-1.3000000000000043</v>
      </c>
      <c r="I40" s="135">
        <f t="shared" si="15"/>
        <v>0.930232558139535</v>
      </c>
      <c r="J40" s="135">
        <f t="shared" si="3"/>
        <v>0.4354430379746835</v>
      </c>
      <c r="K40" s="135">
        <f t="shared" si="16"/>
        <v>0.7710843373493977</v>
      </c>
      <c r="L40" s="136">
        <f t="shared" si="4"/>
        <v>0.4050632911392405</v>
      </c>
      <c r="M40" s="137">
        <f t="shared" si="5"/>
        <v>98.75</v>
      </c>
      <c r="N40" s="137">
        <f t="shared" si="6"/>
        <v>42.999999999999986</v>
      </c>
      <c r="O40" s="137">
        <f t="shared" si="7"/>
        <v>40</v>
      </c>
      <c r="P40" s="134">
        <f t="shared" si="8"/>
        <v>16.300000000000004</v>
      </c>
      <c r="Q40" s="134">
        <f t="shared" si="9"/>
        <v>40.750000000000014</v>
      </c>
      <c r="R40" s="138">
        <f t="shared" si="10"/>
        <v>1</v>
      </c>
      <c r="S40" s="93">
        <f t="shared" si="11"/>
        <v>-15.74418604651163</v>
      </c>
    </row>
    <row r="41" spans="1:19" ht="12.75">
      <c r="A41" s="93">
        <v>-17.5</v>
      </c>
      <c r="B41" s="93">
        <v>8.949771689497716</v>
      </c>
      <c r="C41" s="93">
        <f t="shared" si="12"/>
        <v>21</v>
      </c>
      <c r="D41" s="93">
        <f t="shared" si="13"/>
        <v>5</v>
      </c>
      <c r="E41" s="93">
        <f t="shared" si="14"/>
        <v>21</v>
      </c>
      <c r="F41" s="134">
        <f t="shared" si="0"/>
        <v>-8.686746987951814</v>
      </c>
      <c r="G41" s="134">
        <f t="shared" si="1"/>
        <v>5</v>
      </c>
      <c r="H41" s="134">
        <f t="shared" si="2"/>
        <v>-0.3000000000000007</v>
      </c>
      <c r="I41" s="135">
        <f t="shared" si="15"/>
        <v>0.930232558139535</v>
      </c>
      <c r="J41" s="135">
        <f t="shared" si="3"/>
        <v>0.44675324675324674</v>
      </c>
      <c r="K41" s="135">
        <f t="shared" si="16"/>
        <v>0.7710843373493977</v>
      </c>
      <c r="L41" s="136">
        <f t="shared" si="4"/>
        <v>0.4155844155844156</v>
      </c>
      <c r="M41" s="137">
        <f t="shared" si="5"/>
        <v>144.3749999999999</v>
      </c>
      <c r="N41" s="137">
        <f t="shared" si="6"/>
        <v>64.49999999999996</v>
      </c>
      <c r="O41" s="137">
        <f t="shared" si="7"/>
        <v>59.99999999999996</v>
      </c>
      <c r="P41" s="134">
        <f t="shared" si="8"/>
        <v>15.3</v>
      </c>
      <c r="Q41" s="134">
        <f t="shared" si="9"/>
        <v>57.374999999999964</v>
      </c>
      <c r="R41" s="138">
        <f t="shared" si="10"/>
        <v>1</v>
      </c>
      <c r="S41" s="93">
        <f t="shared" si="11"/>
        <v>-14.8139534883721</v>
      </c>
    </row>
    <row r="42" spans="1:19" ht="12.75">
      <c r="A42" s="93">
        <v>-16.5</v>
      </c>
      <c r="B42" s="93">
        <v>9.874429223744292</v>
      </c>
      <c r="C42" s="93">
        <f t="shared" si="12"/>
        <v>21</v>
      </c>
      <c r="D42" s="93">
        <f t="shared" si="13"/>
        <v>5</v>
      </c>
      <c r="E42" s="93">
        <f t="shared" si="14"/>
        <v>21</v>
      </c>
      <c r="F42" s="134">
        <f t="shared" si="0"/>
        <v>-7.915662650602414</v>
      </c>
      <c r="G42" s="134">
        <f t="shared" si="1"/>
        <v>5</v>
      </c>
      <c r="H42" s="134">
        <f t="shared" si="2"/>
        <v>0.6999999999999993</v>
      </c>
      <c r="I42" s="135">
        <f t="shared" si="15"/>
        <v>0.930232558139535</v>
      </c>
      <c r="J42" s="135">
        <f t="shared" si="3"/>
        <v>0.45866666666666667</v>
      </c>
      <c r="K42" s="135">
        <f t="shared" si="16"/>
        <v>0.7710843373493977</v>
      </c>
      <c r="L42" s="136">
        <f t="shared" si="4"/>
        <v>0.4266666666666667</v>
      </c>
      <c r="M42" s="137">
        <f t="shared" si="5"/>
        <v>126.56250000000006</v>
      </c>
      <c r="N42" s="137">
        <f t="shared" si="6"/>
        <v>58.05000000000002</v>
      </c>
      <c r="O42" s="137">
        <f t="shared" si="7"/>
        <v>54.00000000000002</v>
      </c>
      <c r="P42" s="134">
        <f t="shared" si="8"/>
        <v>14.3</v>
      </c>
      <c r="Q42" s="134">
        <f t="shared" si="9"/>
        <v>48.262500000000024</v>
      </c>
      <c r="R42" s="138">
        <f t="shared" si="10"/>
        <v>1</v>
      </c>
      <c r="S42" s="93">
        <f t="shared" si="11"/>
        <v>-13.883720930232563</v>
      </c>
    </row>
    <row r="43" spans="1:19" ht="12.75">
      <c r="A43" s="93">
        <v>-15.5</v>
      </c>
      <c r="B43" s="93">
        <v>10.867579908675799</v>
      </c>
      <c r="C43" s="93">
        <f t="shared" si="12"/>
        <v>21</v>
      </c>
      <c r="D43" s="93">
        <f t="shared" si="13"/>
        <v>5</v>
      </c>
      <c r="E43" s="93">
        <f t="shared" si="14"/>
        <v>21</v>
      </c>
      <c r="F43" s="134">
        <f t="shared" si="0"/>
        <v>-7.144578313253017</v>
      </c>
      <c r="G43" s="134">
        <f t="shared" si="1"/>
        <v>5</v>
      </c>
      <c r="H43" s="134">
        <f t="shared" si="2"/>
        <v>1.6999999999999993</v>
      </c>
      <c r="I43" s="135">
        <f t="shared" si="15"/>
        <v>0.930232558139535</v>
      </c>
      <c r="J43" s="135">
        <f t="shared" si="3"/>
        <v>0.4712328767123287</v>
      </c>
      <c r="K43" s="135">
        <f t="shared" si="16"/>
        <v>0.7710843373493977</v>
      </c>
      <c r="L43" s="136">
        <f t="shared" si="4"/>
        <v>0.4383561643835616</v>
      </c>
      <c r="M43" s="137">
        <f t="shared" si="5"/>
        <v>132.31250000000003</v>
      </c>
      <c r="N43" s="137">
        <f t="shared" si="6"/>
        <v>62.350000000000016</v>
      </c>
      <c r="O43" s="137">
        <f t="shared" si="7"/>
        <v>58.000000000000014</v>
      </c>
      <c r="P43" s="134">
        <f t="shared" si="8"/>
        <v>13.3</v>
      </c>
      <c r="Q43" s="134">
        <f t="shared" si="9"/>
        <v>48.21250000000001</v>
      </c>
      <c r="R43" s="138">
        <f t="shared" si="10"/>
        <v>1</v>
      </c>
      <c r="S43" s="93">
        <f t="shared" si="11"/>
        <v>-12.953488372093027</v>
      </c>
    </row>
    <row r="44" spans="1:19" ht="12.75">
      <c r="A44" s="93">
        <v>-14.5</v>
      </c>
      <c r="B44" s="93">
        <v>11.940639269406393</v>
      </c>
      <c r="C44" s="93">
        <f t="shared" si="12"/>
        <v>21</v>
      </c>
      <c r="D44" s="93">
        <f t="shared" si="13"/>
        <v>5</v>
      </c>
      <c r="E44" s="93">
        <f t="shared" si="14"/>
        <v>21</v>
      </c>
      <c r="F44" s="134">
        <f t="shared" si="0"/>
        <v>-6.373493975903621</v>
      </c>
      <c r="G44" s="134">
        <f t="shared" si="1"/>
        <v>5</v>
      </c>
      <c r="H44" s="134">
        <f t="shared" si="2"/>
        <v>2.6999999999999993</v>
      </c>
      <c r="I44" s="135">
        <f t="shared" si="15"/>
        <v>0.930232558139535</v>
      </c>
      <c r="J44" s="135">
        <f t="shared" si="3"/>
        <v>0.4845070422535211</v>
      </c>
      <c r="K44" s="135">
        <f t="shared" si="16"/>
        <v>0.7710843373493977</v>
      </c>
      <c r="L44" s="136">
        <f t="shared" si="4"/>
        <v>0.4507042253521127</v>
      </c>
      <c r="M44" s="137">
        <f t="shared" si="5"/>
        <v>139.0416666666668</v>
      </c>
      <c r="N44" s="137">
        <f t="shared" si="6"/>
        <v>67.36666666666672</v>
      </c>
      <c r="O44" s="137">
        <f t="shared" si="7"/>
        <v>62.66666666666672</v>
      </c>
      <c r="P44" s="134">
        <f t="shared" si="8"/>
        <v>12.3</v>
      </c>
      <c r="Q44" s="134">
        <f t="shared" si="9"/>
        <v>48.17500000000005</v>
      </c>
      <c r="R44" s="138">
        <f t="shared" si="10"/>
        <v>1</v>
      </c>
      <c r="S44" s="93">
        <f t="shared" si="11"/>
        <v>-12.02325581395349</v>
      </c>
    </row>
    <row r="45" spans="1:19" ht="12.75">
      <c r="A45" s="93">
        <v>-13.5</v>
      </c>
      <c r="B45" s="93">
        <v>13.150684931506849</v>
      </c>
      <c r="C45" s="93">
        <f t="shared" si="12"/>
        <v>21</v>
      </c>
      <c r="D45" s="93">
        <f t="shared" si="13"/>
        <v>5</v>
      </c>
      <c r="E45" s="93">
        <f t="shared" si="14"/>
        <v>21</v>
      </c>
      <c r="F45" s="134">
        <f t="shared" si="0"/>
        <v>-5.602409638554221</v>
      </c>
      <c r="G45" s="134">
        <f t="shared" si="1"/>
        <v>5</v>
      </c>
      <c r="H45" s="134">
        <f t="shared" si="2"/>
        <v>3.6999999999999993</v>
      </c>
      <c r="I45" s="135">
        <f t="shared" si="15"/>
        <v>0.930232558139535</v>
      </c>
      <c r="J45" s="135">
        <f t="shared" si="3"/>
        <v>0.49855072463768113</v>
      </c>
      <c r="K45" s="135">
        <f t="shared" si="16"/>
        <v>0.7710843373493977</v>
      </c>
      <c r="L45" s="136">
        <f t="shared" si="4"/>
        <v>0.463768115942029</v>
      </c>
      <c r="M45" s="137">
        <f t="shared" si="5"/>
        <v>152.37499999999986</v>
      </c>
      <c r="N45" s="137">
        <f t="shared" si="6"/>
        <v>75.9666666666666</v>
      </c>
      <c r="O45" s="137">
        <f t="shared" si="7"/>
        <v>70.6666666666666</v>
      </c>
      <c r="P45" s="134">
        <f t="shared" si="8"/>
        <v>11.3</v>
      </c>
      <c r="Q45" s="134">
        <f t="shared" si="9"/>
        <v>49.90833333333329</v>
      </c>
      <c r="R45" s="138">
        <f t="shared" si="10"/>
        <v>1</v>
      </c>
      <c r="S45" s="93">
        <f t="shared" si="11"/>
        <v>-11.093023255813954</v>
      </c>
    </row>
    <row r="46" spans="1:19" ht="12.75">
      <c r="A46" s="93">
        <v>-12.5</v>
      </c>
      <c r="B46" s="93">
        <v>14.908675799086756</v>
      </c>
      <c r="C46" s="93">
        <f t="shared" si="12"/>
        <v>21</v>
      </c>
      <c r="D46" s="93">
        <f t="shared" si="13"/>
        <v>5</v>
      </c>
      <c r="E46" s="93">
        <f t="shared" si="14"/>
        <v>21</v>
      </c>
      <c r="F46" s="134">
        <f t="shared" si="0"/>
        <v>-4.831325301204824</v>
      </c>
      <c r="G46" s="134">
        <f t="shared" si="1"/>
        <v>5</v>
      </c>
      <c r="H46" s="134">
        <f t="shared" si="2"/>
        <v>4.699999999999999</v>
      </c>
      <c r="I46" s="135">
        <f t="shared" si="15"/>
        <v>0.930232558139535</v>
      </c>
      <c r="J46" s="135">
        <f t="shared" si="3"/>
        <v>0.5134328358208955</v>
      </c>
      <c r="K46" s="135">
        <f t="shared" si="16"/>
        <v>0.7710843373493977</v>
      </c>
      <c r="L46" s="136">
        <f t="shared" si="4"/>
        <v>0.47761194029850745</v>
      </c>
      <c r="M46" s="137">
        <f t="shared" si="5"/>
        <v>214.95833333333323</v>
      </c>
      <c r="N46" s="137">
        <f t="shared" si="6"/>
        <v>110.3666666666666</v>
      </c>
      <c r="O46" s="137">
        <f t="shared" si="7"/>
        <v>102.66666666666661</v>
      </c>
      <c r="P46" s="134">
        <f t="shared" si="8"/>
        <v>10.3</v>
      </c>
      <c r="Q46" s="134">
        <f t="shared" si="9"/>
        <v>66.09166666666664</v>
      </c>
      <c r="R46" s="138">
        <f t="shared" si="10"/>
        <v>1</v>
      </c>
      <c r="S46" s="93">
        <f t="shared" si="11"/>
        <v>-10.16279069767442</v>
      </c>
    </row>
    <row r="47" spans="1:19" ht="12.75">
      <c r="A47" s="93">
        <v>-11.5</v>
      </c>
      <c r="B47" s="93">
        <v>16.82648401826484</v>
      </c>
      <c r="C47" s="93">
        <f t="shared" si="12"/>
        <v>21</v>
      </c>
      <c r="D47" s="93">
        <f t="shared" si="13"/>
        <v>5</v>
      </c>
      <c r="E47" s="93">
        <f t="shared" si="14"/>
        <v>21</v>
      </c>
      <c r="F47" s="134">
        <f t="shared" si="0"/>
        <v>-4.060240963855428</v>
      </c>
      <c r="G47" s="134">
        <f t="shared" si="1"/>
        <v>5</v>
      </c>
      <c r="H47" s="134">
        <f t="shared" si="2"/>
        <v>5.699999999999999</v>
      </c>
      <c r="I47" s="135">
        <f t="shared" si="15"/>
        <v>0.930232558139535</v>
      </c>
      <c r="J47" s="135">
        <f t="shared" si="3"/>
        <v>0.5292307692307692</v>
      </c>
      <c r="K47" s="135">
        <f t="shared" si="16"/>
        <v>0.7710843373493977</v>
      </c>
      <c r="L47" s="136">
        <f t="shared" si="4"/>
        <v>0.49230769230769234</v>
      </c>
      <c r="M47" s="137">
        <f t="shared" si="5"/>
        <v>227.50000000000006</v>
      </c>
      <c r="N47" s="137">
        <f t="shared" si="6"/>
        <v>120.40000000000002</v>
      </c>
      <c r="O47" s="137">
        <f t="shared" si="7"/>
        <v>112.00000000000003</v>
      </c>
      <c r="P47" s="134">
        <f t="shared" si="8"/>
        <v>9.3</v>
      </c>
      <c r="Q47" s="134">
        <f t="shared" si="9"/>
        <v>65.10000000000002</v>
      </c>
      <c r="R47" s="138">
        <f t="shared" si="10"/>
        <v>1</v>
      </c>
      <c r="S47" s="93">
        <f t="shared" si="11"/>
        <v>-9.232558139534888</v>
      </c>
    </row>
    <row r="48" spans="1:19" ht="12.75">
      <c r="A48" s="93">
        <v>-10.5</v>
      </c>
      <c r="B48" s="93">
        <v>18.664383561643834</v>
      </c>
      <c r="C48" s="93">
        <f t="shared" si="12"/>
        <v>21</v>
      </c>
      <c r="D48" s="93">
        <f t="shared" si="13"/>
        <v>5</v>
      </c>
      <c r="E48" s="93">
        <f t="shared" si="14"/>
        <v>21</v>
      </c>
      <c r="F48" s="134">
        <f t="shared" si="0"/>
        <v>-3.2891566265060277</v>
      </c>
      <c r="G48" s="134">
        <f t="shared" si="1"/>
        <v>5</v>
      </c>
      <c r="H48" s="134">
        <f t="shared" si="2"/>
        <v>6.699999999999999</v>
      </c>
      <c r="I48" s="135">
        <f t="shared" si="15"/>
        <v>0.930232558139535</v>
      </c>
      <c r="J48" s="135">
        <f t="shared" si="3"/>
        <v>0.546031746031746</v>
      </c>
      <c r="K48" s="135">
        <f t="shared" si="16"/>
        <v>0.7710843373493977</v>
      </c>
      <c r="L48" s="136">
        <f t="shared" si="4"/>
        <v>0.5079365079365079</v>
      </c>
      <c r="M48" s="137">
        <f t="shared" si="5"/>
        <v>211.3125</v>
      </c>
      <c r="N48" s="137">
        <f t="shared" si="6"/>
        <v>115.38333333333333</v>
      </c>
      <c r="O48" s="137">
        <f t="shared" si="7"/>
        <v>107.33333333333333</v>
      </c>
      <c r="P48" s="134">
        <f t="shared" si="8"/>
        <v>8.3</v>
      </c>
      <c r="Q48" s="134">
        <f t="shared" si="9"/>
        <v>55.67916666666667</v>
      </c>
      <c r="R48" s="138">
        <f t="shared" si="10"/>
        <v>1</v>
      </c>
      <c r="S48" s="93">
        <f t="shared" si="11"/>
        <v>-8.302325581395351</v>
      </c>
    </row>
    <row r="49" spans="1:19" ht="12.75">
      <c r="A49" s="93">
        <v>-9.5</v>
      </c>
      <c r="B49" s="93">
        <v>20.559360730593607</v>
      </c>
      <c r="C49" s="93">
        <f t="shared" si="12"/>
        <v>21</v>
      </c>
      <c r="D49" s="93">
        <f t="shared" si="13"/>
        <v>5</v>
      </c>
      <c r="E49" s="93">
        <f t="shared" si="14"/>
        <v>21</v>
      </c>
      <c r="F49" s="134">
        <f t="shared" si="0"/>
        <v>-2.518072289156631</v>
      </c>
      <c r="G49" s="134">
        <f t="shared" si="1"/>
        <v>5</v>
      </c>
      <c r="H49" s="134">
        <f t="shared" si="2"/>
        <v>7.699999999999999</v>
      </c>
      <c r="I49" s="135">
        <f t="shared" si="15"/>
        <v>0.930232558139535</v>
      </c>
      <c r="J49" s="135">
        <f t="shared" si="3"/>
        <v>0.5639344262295082</v>
      </c>
      <c r="K49" s="135">
        <f t="shared" si="16"/>
        <v>0.7710843373493977</v>
      </c>
      <c r="L49" s="136">
        <f t="shared" si="4"/>
        <v>0.5245901639344263</v>
      </c>
      <c r="M49" s="137">
        <f t="shared" si="5"/>
        <v>210.9583333333334</v>
      </c>
      <c r="N49" s="137">
        <f t="shared" si="6"/>
        <v>118.9666666666667</v>
      </c>
      <c r="O49" s="137">
        <f t="shared" si="7"/>
        <v>110.6666666666667</v>
      </c>
      <c r="P49" s="134">
        <f t="shared" si="8"/>
        <v>7.300000000000001</v>
      </c>
      <c r="Q49" s="134">
        <f t="shared" si="9"/>
        <v>50.49166666666669</v>
      </c>
      <c r="R49" s="138">
        <f t="shared" si="10"/>
        <v>1</v>
      </c>
      <c r="S49" s="93">
        <f t="shared" si="11"/>
        <v>-7.372093023255818</v>
      </c>
    </row>
    <row r="50" spans="1:19" ht="12.75">
      <c r="A50" s="93">
        <v>-8.5</v>
      </c>
      <c r="B50" s="93">
        <v>22.5</v>
      </c>
      <c r="C50" s="93">
        <f t="shared" si="12"/>
        <v>21</v>
      </c>
      <c r="D50" s="93">
        <f t="shared" si="13"/>
        <v>5</v>
      </c>
      <c r="E50" s="93">
        <f t="shared" si="14"/>
        <v>21</v>
      </c>
      <c r="F50" s="134">
        <f t="shared" si="0"/>
        <v>-1.7469879518072347</v>
      </c>
      <c r="G50" s="134">
        <f t="shared" si="1"/>
        <v>5</v>
      </c>
      <c r="H50" s="134">
        <f t="shared" si="2"/>
        <v>8.699999999999996</v>
      </c>
      <c r="I50" s="135">
        <f t="shared" si="15"/>
        <v>0.930232558139535</v>
      </c>
      <c r="J50" s="135">
        <f t="shared" si="3"/>
        <v>0.583050847457627</v>
      </c>
      <c r="K50" s="135">
        <f t="shared" si="16"/>
        <v>0.7710843373493977</v>
      </c>
      <c r="L50" s="136">
        <f t="shared" si="4"/>
        <v>0.5423728813559322</v>
      </c>
      <c r="M50" s="137">
        <f t="shared" si="5"/>
        <v>208.9583333333334</v>
      </c>
      <c r="N50" s="137">
        <f t="shared" si="6"/>
        <v>121.83333333333334</v>
      </c>
      <c r="O50" s="137">
        <f t="shared" si="7"/>
        <v>113.33333333333337</v>
      </c>
      <c r="P50" s="134">
        <f t="shared" si="8"/>
        <v>6.300000000000004</v>
      </c>
      <c r="Q50" s="134">
        <f t="shared" si="9"/>
        <v>44.62500000000004</v>
      </c>
      <c r="R50" s="138">
        <f t="shared" si="10"/>
        <v>1</v>
      </c>
      <c r="S50" s="93">
        <f t="shared" si="11"/>
        <v>-6.441860465116282</v>
      </c>
    </row>
    <row r="51" spans="1:19" ht="12.75">
      <c r="A51" s="93">
        <v>-7.5</v>
      </c>
      <c r="B51" s="93">
        <v>24.69178082191781</v>
      </c>
      <c r="C51" s="93">
        <f t="shared" si="12"/>
        <v>21</v>
      </c>
      <c r="D51" s="93">
        <f t="shared" si="13"/>
        <v>5</v>
      </c>
      <c r="E51" s="93">
        <f t="shared" si="14"/>
        <v>21</v>
      </c>
      <c r="F51" s="134">
        <f t="shared" si="0"/>
        <v>-0.9759036144578346</v>
      </c>
      <c r="G51" s="134">
        <f t="shared" si="1"/>
        <v>5</v>
      </c>
      <c r="H51" s="134">
        <f t="shared" si="2"/>
        <v>9.699999999999996</v>
      </c>
      <c r="I51" s="135">
        <f t="shared" si="15"/>
        <v>0.930232558139535</v>
      </c>
      <c r="J51" s="135">
        <f t="shared" si="3"/>
        <v>0.6035087719298244</v>
      </c>
      <c r="K51" s="135">
        <f t="shared" si="16"/>
        <v>0.7710843373493977</v>
      </c>
      <c r="L51" s="136">
        <f t="shared" si="4"/>
        <v>0.5614035087719298</v>
      </c>
      <c r="M51" s="137">
        <f t="shared" si="5"/>
        <v>228.0000000000002</v>
      </c>
      <c r="N51" s="137">
        <f t="shared" si="6"/>
        <v>137.60000000000008</v>
      </c>
      <c r="O51" s="137">
        <f t="shared" si="7"/>
        <v>128.0000000000001</v>
      </c>
      <c r="P51" s="134">
        <f t="shared" si="8"/>
        <v>5.300000000000004</v>
      </c>
      <c r="Q51" s="134">
        <f t="shared" si="9"/>
        <v>42.40000000000007</v>
      </c>
      <c r="R51" s="138">
        <f t="shared" si="10"/>
        <v>1</v>
      </c>
      <c r="S51" s="93">
        <f t="shared" si="11"/>
        <v>-5.511627906976749</v>
      </c>
    </row>
    <row r="52" spans="1:19" ht="12.75">
      <c r="A52" s="93">
        <v>-6.5</v>
      </c>
      <c r="B52" s="93">
        <v>27.248858447488583</v>
      </c>
      <c r="C52" s="93">
        <f t="shared" si="12"/>
        <v>21</v>
      </c>
      <c r="D52" s="93">
        <f t="shared" si="13"/>
        <v>5</v>
      </c>
      <c r="E52" s="93">
        <f t="shared" si="14"/>
        <v>21</v>
      </c>
      <c r="F52" s="134">
        <f t="shared" si="0"/>
        <v>-0.20481927710843806</v>
      </c>
      <c r="G52" s="134">
        <f t="shared" si="1"/>
        <v>5</v>
      </c>
      <c r="H52" s="134">
        <f t="shared" si="2"/>
        <v>10.7</v>
      </c>
      <c r="I52" s="135">
        <f t="shared" si="15"/>
        <v>0.930232558139535</v>
      </c>
      <c r="J52" s="135">
        <f t="shared" si="3"/>
        <v>0.6254545454545454</v>
      </c>
      <c r="K52" s="135">
        <f t="shared" si="16"/>
        <v>0.7710843373493977</v>
      </c>
      <c r="L52" s="136">
        <f t="shared" si="4"/>
        <v>0.5818181818181818</v>
      </c>
      <c r="M52" s="137">
        <f t="shared" si="5"/>
        <v>256.6666666666664</v>
      </c>
      <c r="N52" s="137">
        <f t="shared" si="6"/>
        <v>160.53333333333316</v>
      </c>
      <c r="O52" s="137">
        <f t="shared" si="7"/>
        <v>149.33333333333317</v>
      </c>
      <c r="P52" s="134">
        <f t="shared" si="8"/>
        <v>4.300000000000001</v>
      </c>
      <c r="Q52" s="134">
        <f t="shared" si="9"/>
        <v>40.1333333333333</v>
      </c>
      <c r="R52" s="138">
        <f t="shared" si="10"/>
        <v>1</v>
      </c>
      <c r="S52" s="93">
        <f t="shared" si="11"/>
        <v>-4.581395348837212</v>
      </c>
    </row>
    <row r="53" spans="1:19" ht="12.75">
      <c r="A53" s="93">
        <v>-5.5</v>
      </c>
      <c r="B53" s="93">
        <v>30.251141552511417</v>
      </c>
      <c r="C53" s="93">
        <f t="shared" si="12"/>
        <v>21</v>
      </c>
      <c r="D53" s="93">
        <f t="shared" si="13"/>
        <v>5</v>
      </c>
      <c r="E53" s="93">
        <f t="shared" si="14"/>
        <v>21</v>
      </c>
      <c r="F53" s="134">
        <f t="shared" si="0"/>
        <v>0.5662650602409585</v>
      </c>
      <c r="G53" s="134">
        <f t="shared" si="1"/>
        <v>5</v>
      </c>
      <c r="H53" s="134">
        <f t="shared" si="2"/>
        <v>11.699999999999996</v>
      </c>
      <c r="I53" s="135">
        <f t="shared" si="15"/>
        <v>0.930232558139535</v>
      </c>
      <c r="J53" s="135">
        <f t="shared" si="3"/>
        <v>0.6490566037735848</v>
      </c>
      <c r="K53" s="135">
        <f t="shared" si="16"/>
        <v>0.7710843373493977</v>
      </c>
      <c r="L53" s="136">
        <f t="shared" si="4"/>
        <v>0.6037735849056604</v>
      </c>
      <c r="M53" s="137">
        <f t="shared" si="5"/>
        <v>290.3958333333336</v>
      </c>
      <c r="N53" s="137">
        <f t="shared" si="6"/>
        <v>188.48333333333346</v>
      </c>
      <c r="O53" s="137">
        <f t="shared" si="7"/>
        <v>175.33333333333348</v>
      </c>
      <c r="P53" s="134">
        <f t="shared" si="8"/>
        <v>3.3000000000000043</v>
      </c>
      <c r="Q53" s="134">
        <f t="shared" si="9"/>
        <v>36.16250000000008</v>
      </c>
      <c r="R53" s="138">
        <f t="shared" si="10"/>
        <v>1</v>
      </c>
      <c r="S53" s="93">
        <f t="shared" si="11"/>
        <v>-3.6511627906976756</v>
      </c>
    </row>
    <row r="54" spans="1:19" ht="12.75">
      <c r="A54" s="93">
        <v>-4.5</v>
      </c>
      <c r="B54" s="93">
        <v>33.10502283105023</v>
      </c>
      <c r="C54" s="93">
        <f t="shared" si="12"/>
        <v>21</v>
      </c>
      <c r="D54" s="93">
        <f t="shared" si="13"/>
        <v>5</v>
      </c>
      <c r="E54" s="93">
        <f t="shared" si="14"/>
        <v>21</v>
      </c>
      <c r="F54" s="134">
        <f t="shared" si="0"/>
        <v>1.3373493975903585</v>
      </c>
      <c r="G54" s="134">
        <f t="shared" si="1"/>
        <v>5</v>
      </c>
      <c r="H54" s="134">
        <f t="shared" si="2"/>
        <v>12.7</v>
      </c>
      <c r="I54" s="135">
        <f t="shared" si="15"/>
        <v>0.930232558139535</v>
      </c>
      <c r="J54" s="135">
        <f t="shared" si="3"/>
        <v>0.6745098039215686</v>
      </c>
      <c r="K54" s="135">
        <f t="shared" si="16"/>
        <v>0.7710843373493977</v>
      </c>
      <c r="L54" s="136">
        <f t="shared" si="4"/>
        <v>0.6274509803921569</v>
      </c>
      <c r="M54" s="137">
        <f t="shared" si="5"/>
        <v>265.62499999999983</v>
      </c>
      <c r="N54" s="137">
        <f t="shared" si="6"/>
        <v>179.16666666666652</v>
      </c>
      <c r="O54" s="137">
        <f t="shared" si="7"/>
        <v>166.66666666666654</v>
      </c>
      <c r="P54" s="134">
        <f t="shared" si="8"/>
        <v>2.3000000000000007</v>
      </c>
      <c r="Q54" s="134">
        <f t="shared" si="9"/>
        <v>23.95833333333332</v>
      </c>
      <c r="R54" s="138">
        <f t="shared" si="10"/>
        <v>1</v>
      </c>
      <c r="S54" s="93">
        <f t="shared" si="11"/>
        <v>-2.7209302325581426</v>
      </c>
    </row>
    <row r="55" spans="1:19" ht="12.75">
      <c r="A55" s="93">
        <v>-3.5</v>
      </c>
      <c r="B55" s="93">
        <v>36.06164383561644</v>
      </c>
      <c r="C55" s="93">
        <f t="shared" si="12"/>
        <v>21</v>
      </c>
      <c r="D55" s="93">
        <f t="shared" si="13"/>
        <v>5</v>
      </c>
      <c r="E55" s="93">
        <f t="shared" si="14"/>
        <v>21</v>
      </c>
      <c r="F55" s="134">
        <f t="shared" si="0"/>
        <v>2.108433734939755</v>
      </c>
      <c r="G55" s="134">
        <f t="shared" si="1"/>
        <v>5</v>
      </c>
      <c r="H55" s="134">
        <f t="shared" si="2"/>
        <v>13.699999999999996</v>
      </c>
      <c r="I55" s="135">
        <f t="shared" si="15"/>
        <v>0.930232558139535</v>
      </c>
      <c r="J55" s="135">
        <f t="shared" si="3"/>
        <v>0.7020408163265305</v>
      </c>
      <c r="K55" s="135">
        <f t="shared" si="16"/>
        <v>0.7710843373493977</v>
      </c>
      <c r="L55" s="136">
        <f t="shared" si="4"/>
        <v>0.6530612244897959</v>
      </c>
      <c r="M55" s="137">
        <f t="shared" si="5"/>
        <v>264.39583333333326</v>
      </c>
      <c r="N55" s="137">
        <f t="shared" si="6"/>
        <v>185.61666666666656</v>
      </c>
      <c r="O55" s="137">
        <f t="shared" si="7"/>
        <v>172.6666666666666</v>
      </c>
      <c r="P55" s="134">
        <f t="shared" si="8"/>
        <v>1.3000000000000043</v>
      </c>
      <c r="Q55" s="134">
        <f t="shared" si="9"/>
        <v>14.029166666666708</v>
      </c>
      <c r="R55" s="138">
        <f t="shared" si="10"/>
        <v>1</v>
      </c>
      <c r="S55" s="93">
        <f t="shared" si="11"/>
        <v>-1.790697674418606</v>
      </c>
    </row>
    <row r="56" spans="1:19" ht="12.75">
      <c r="A56" s="93">
        <v>-2.5</v>
      </c>
      <c r="B56" s="93">
        <v>40.353881278538815</v>
      </c>
      <c r="C56" s="93">
        <f t="shared" si="12"/>
        <v>21</v>
      </c>
      <c r="D56" s="93">
        <f t="shared" si="13"/>
        <v>5</v>
      </c>
      <c r="E56" s="93">
        <f t="shared" si="14"/>
        <v>21</v>
      </c>
      <c r="F56" s="134">
        <f aca="true" t="shared" si="17" ref="F56:F70">E56-K56*(E56-A56)</f>
        <v>2.8795180722891516</v>
      </c>
      <c r="G56" s="134">
        <f aca="true" t="shared" si="18" ref="G56:G70">MAX(F56,D56,S56)</f>
        <v>5</v>
      </c>
      <c r="H56" s="134">
        <f aca="true" t="shared" si="19" ref="H56:H70">A56+J56*(E56-A56)</f>
        <v>14.7</v>
      </c>
      <c r="I56" s="135">
        <f t="shared" si="15"/>
        <v>0.930232558139535</v>
      </c>
      <c r="J56" s="135">
        <f aca="true" t="shared" si="20" ref="J56:J70">L56/I56</f>
        <v>0.7319148936170212</v>
      </c>
      <c r="K56" s="135">
        <f t="shared" si="16"/>
        <v>0.7710843373493977</v>
      </c>
      <c r="L56" s="136">
        <f aca="true" t="shared" si="21" ref="L56:L70">(E56-G56)/(E56-A56)</f>
        <v>0.6808510638297872</v>
      </c>
      <c r="M56" s="137">
        <f aca="true" t="shared" si="22" ref="M56:M70">MAX((B56-B55)/100*365*(E56-A56),0)</f>
        <v>368.16666666666697</v>
      </c>
      <c r="N56" s="137">
        <f aca="true" t="shared" si="23" ref="N56:N70">MAX((B56-B55)/100*365*(H56-A56),0)</f>
        <v>269.46666666666687</v>
      </c>
      <c r="O56" s="137">
        <f aca="true" t="shared" si="24" ref="O56:O70">MAX((B56-B55)/100*365*(E56-G56),0)</f>
        <v>250.66666666666688</v>
      </c>
      <c r="P56" s="134">
        <f aca="true" t="shared" si="25" ref="P56:P70">MAX(0,P$23-H56)</f>
        <v>0.3000000000000007</v>
      </c>
      <c r="Q56" s="134">
        <f aca="true" t="shared" si="26" ref="Q56:Q70">(B56-B55)/100*365*P56</f>
        <v>4.700000000000015</v>
      </c>
      <c r="R56" s="138">
        <f aca="true" t="shared" si="27" ref="R56:R70">MAX((C56-A56)/(E56-A56),0)</f>
        <v>1</v>
      </c>
      <c r="S56" s="93">
        <f aca="true" t="shared" si="28" ref="S56:S70">E56-R56*I56*(E56-A56)</f>
        <v>-0.8604651162790731</v>
      </c>
    </row>
    <row r="57" spans="1:19" ht="12.75">
      <c r="A57" s="93">
        <v>-1.5</v>
      </c>
      <c r="B57" s="93">
        <v>44.269406392694066</v>
      </c>
      <c r="C57" s="93">
        <f aca="true" t="shared" si="29" ref="C57:C70">C56</f>
        <v>21</v>
      </c>
      <c r="D57" s="93">
        <f aca="true" t="shared" si="30" ref="D57:D70">D56</f>
        <v>5</v>
      </c>
      <c r="E57" s="93">
        <f aca="true" t="shared" si="31" ref="E57:E70">E56</f>
        <v>21</v>
      </c>
      <c r="F57" s="134">
        <f t="shared" si="17"/>
        <v>3.6506024096385516</v>
      </c>
      <c r="G57" s="134">
        <f t="shared" si="18"/>
        <v>5</v>
      </c>
      <c r="H57" s="134">
        <f t="shared" si="19"/>
        <v>15.7</v>
      </c>
      <c r="I57" s="135">
        <f aca="true" t="shared" si="32" ref="I57:I70">I56</f>
        <v>0.930232558139535</v>
      </c>
      <c r="J57" s="135">
        <f t="shared" si="20"/>
        <v>0.7644444444444444</v>
      </c>
      <c r="K57" s="135">
        <f aca="true" t="shared" si="33" ref="K57:K70">K56</f>
        <v>0.7710843373493977</v>
      </c>
      <c r="L57" s="136">
        <f t="shared" si="21"/>
        <v>0.7111111111111111</v>
      </c>
      <c r="M57" s="137">
        <f t="shared" si="22"/>
        <v>321.5625</v>
      </c>
      <c r="N57" s="137">
        <f t="shared" si="23"/>
        <v>245.81666666666666</v>
      </c>
      <c r="O57" s="137">
        <f t="shared" si="24"/>
        <v>228.66666666666669</v>
      </c>
      <c r="P57" s="134">
        <f t="shared" si="25"/>
        <v>0</v>
      </c>
      <c r="Q57" s="134">
        <f t="shared" si="26"/>
        <v>0</v>
      </c>
      <c r="R57" s="138">
        <f t="shared" si="27"/>
        <v>1</v>
      </c>
      <c r="S57" s="93">
        <f t="shared" si="28"/>
        <v>0.06976744186046346</v>
      </c>
    </row>
    <row r="58" spans="1:19" ht="12.75">
      <c r="A58" s="93">
        <v>-0.5</v>
      </c>
      <c r="B58" s="93">
        <v>47.922374429223744</v>
      </c>
      <c r="C58" s="93">
        <f t="shared" si="29"/>
        <v>21</v>
      </c>
      <c r="D58" s="93">
        <f t="shared" si="30"/>
        <v>5</v>
      </c>
      <c r="E58" s="93">
        <f t="shared" si="31"/>
        <v>21</v>
      </c>
      <c r="F58" s="134">
        <f t="shared" si="17"/>
        <v>4.421686746987948</v>
      </c>
      <c r="G58" s="134">
        <f t="shared" si="18"/>
        <v>5</v>
      </c>
      <c r="H58" s="134">
        <f t="shared" si="19"/>
        <v>16.7</v>
      </c>
      <c r="I58" s="135">
        <f t="shared" si="32"/>
        <v>0.930232558139535</v>
      </c>
      <c r="J58" s="135">
        <f t="shared" si="20"/>
        <v>0.7999999999999999</v>
      </c>
      <c r="K58" s="135">
        <f t="shared" si="33"/>
        <v>0.7710843373493977</v>
      </c>
      <c r="L58" s="136">
        <f t="shared" si="21"/>
        <v>0.7441860465116279</v>
      </c>
      <c r="M58" s="137">
        <f t="shared" si="22"/>
        <v>286.6666666666665</v>
      </c>
      <c r="N58" s="137">
        <f t="shared" si="23"/>
        <v>229.33333333333317</v>
      </c>
      <c r="O58" s="137">
        <f t="shared" si="24"/>
        <v>213.3333333333332</v>
      </c>
      <c r="P58" s="134">
        <f t="shared" si="25"/>
        <v>0</v>
      </c>
      <c r="Q58" s="134">
        <f t="shared" si="26"/>
        <v>0</v>
      </c>
      <c r="R58" s="138">
        <f t="shared" si="27"/>
        <v>1</v>
      </c>
      <c r="S58" s="93">
        <f t="shared" si="28"/>
        <v>0.9999999999999964</v>
      </c>
    </row>
    <row r="59" spans="1:19" ht="12.75">
      <c r="A59" s="93">
        <v>0.5</v>
      </c>
      <c r="B59" s="93">
        <v>52.2716894977169</v>
      </c>
      <c r="C59" s="93">
        <f t="shared" si="29"/>
        <v>21</v>
      </c>
      <c r="D59" s="93">
        <f t="shared" si="30"/>
        <v>5</v>
      </c>
      <c r="E59" s="93">
        <f t="shared" si="31"/>
        <v>21</v>
      </c>
      <c r="F59" s="134">
        <f t="shared" si="17"/>
        <v>5.1927710843373465</v>
      </c>
      <c r="G59" s="134">
        <f t="shared" si="18"/>
        <v>5.1927710843373465</v>
      </c>
      <c r="H59" s="134">
        <f t="shared" si="19"/>
        <v>17.49277108433735</v>
      </c>
      <c r="I59" s="135">
        <f t="shared" si="32"/>
        <v>0.930232558139535</v>
      </c>
      <c r="J59" s="135">
        <f t="shared" si="20"/>
        <v>0.8289156626506025</v>
      </c>
      <c r="K59" s="135">
        <f t="shared" si="33"/>
        <v>0.7710843373493977</v>
      </c>
      <c r="L59" s="136">
        <f t="shared" si="21"/>
        <v>0.7710843373493977</v>
      </c>
      <c r="M59" s="137">
        <f t="shared" si="22"/>
        <v>325.43750000000034</v>
      </c>
      <c r="N59" s="137">
        <f t="shared" si="23"/>
        <v>269.76024096385567</v>
      </c>
      <c r="O59" s="137">
        <f t="shared" si="24"/>
        <v>250.93975903614486</v>
      </c>
      <c r="P59" s="134">
        <f t="shared" si="25"/>
        <v>0</v>
      </c>
      <c r="Q59" s="134">
        <f t="shared" si="26"/>
        <v>0</v>
      </c>
      <c r="R59" s="138">
        <f t="shared" si="27"/>
        <v>1</v>
      </c>
      <c r="S59" s="93">
        <f t="shared" si="28"/>
        <v>1.930232558139533</v>
      </c>
    </row>
    <row r="60" spans="1:19" ht="12.75">
      <c r="A60" s="93">
        <v>1.5</v>
      </c>
      <c r="B60" s="93">
        <v>55.25114155251142</v>
      </c>
      <c r="C60" s="93">
        <f t="shared" si="29"/>
        <v>21</v>
      </c>
      <c r="D60" s="93">
        <f t="shared" si="30"/>
        <v>5</v>
      </c>
      <c r="E60" s="93">
        <f t="shared" si="31"/>
        <v>21</v>
      </c>
      <c r="F60" s="134">
        <f t="shared" si="17"/>
        <v>5.963855421686745</v>
      </c>
      <c r="G60" s="134">
        <f t="shared" si="18"/>
        <v>5.963855421686745</v>
      </c>
      <c r="H60" s="134">
        <f t="shared" si="19"/>
        <v>17.663855421686748</v>
      </c>
      <c r="I60" s="135">
        <f t="shared" si="32"/>
        <v>0.930232558139535</v>
      </c>
      <c r="J60" s="135">
        <f t="shared" si="20"/>
        <v>0.8289156626506025</v>
      </c>
      <c r="K60" s="135">
        <f t="shared" si="33"/>
        <v>0.7710843373493977</v>
      </c>
      <c r="L60" s="136">
        <f t="shared" si="21"/>
        <v>0.7710843373493977</v>
      </c>
      <c r="M60" s="137">
        <f t="shared" si="22"/>
        <v>212.06250000000003</v>
      </c>
      <c r="N60" s="137">
        <f t="shared" si="23"/>
        <v>175.7819277108434</v>
      </c>
      <c r="O60" s="137">
        <f t="shared" si="24"/>
        <v>163.5180722891567</v>
      </c>
      <c r="P60" s="134">
        <f t="shared" si="25"/>
        <v>0</v>
      </c>
      <c r="Q60" s="134">
        <f t="shared" si="26"/>
        <v>0</v>
      </c>
      <c r="R60" s="138">
        <f t="shared" si="27"/>
        <v>1</v>
      </c>
      <c r="S60" s="93">
        <f t="shared" si="28"/>
        <v>2.8604651162790695</v>
      </c>
    </row>
    <row r="61" spans="1:19" ht="12.75">
      <c r="A61" s="93">
        <v>2.5</v>
      </c>
      <c r="B61" s="93">
        <v>58.60730593607306</v>
      </c>
      <c r="C61" s="93">
        <f t="shared" si="29"/>
        <v>21</v>
      </c>
      <c r="D61" s="93">
        <f t="shared" si="30"/>
        <v>5</v>
      </c>
      <c r="E61" s="93">
        <f t="shared" si="31"/>
        <v>21</v>
      </c>
      <c r="F61" s="134">
        <f t="shared" si="17"/>
        <v>6.734939759036141</v>
      </c>
      <c r="G61" s="134">
        <f t="shared" si="18"/>
        <v>6.734939759036141</v>
      </c>
      <c r="H61" s="134">
        <f t="shared" si="19"/>
        <v>17.834939759036146</v>
      </c>
      <c r="I61" s="135">
        <f t="shared" si="32"/>
        <v>0.930232558139535</v>
      </c>
      <c r="J61" s="135">
        <f t="shared" si="20"/>
        <v>0.8289156626506025</v>
      </c>
      <c r="K61" s="135">
        <f t="shared" si="33"/>
        <v>0.7710843373493977</v>
      </c>
      <c r="L61" s="136">
        <f t="shared" si="21"/>
        <v>0.7710843373493977</v>
      </c>
      <c r="M61" s="137">
        <f t="shared" si="22"/>
        <v>226.6249999999998</v>
      </c>
      <c r="N61" s="137">
        <f t="shared" si="23"/>
        <v>187.85301204819262</v>
      </c>
      <c r="O61" s="137">
        <f t="shared" si="24"/>
        <v>174.7469879518071</v>
      </c>
      <c r="P61" s="134">
        <f t="shared" si="25"/>
        <v>0</v>
      </c>
      <c r="Q61" s="134">
        <f t="shared" si="26"/>
        <v>0</v>
      </c>
      <c r="R61" s="138">
        <f t="shared" si="27"/>
        <v>1</v>
      </c>
      <c r="S61" s="93">
        <f t="shared" si="28"/>
        <v>3.7906976744186025</v>
      </c>
    </row>
    <row r="62" spans="1:19" ht="12.75">
      <c r="A62" s="93">
        <v>3.5</v>
      </c>
      <c r="B62" s="93">
        <v>61.66666666666667</v>
      </c>
      <c r="C62" s="93">
        <f t="shared" si="29"/>
        <v>21</v>
      </c>
      <c r="D62" s="93">
        <f t="shared" si="30"/>
        <v>5</v>
      </c>
      <c r="E62" s="93">
        <f t="shared" si="31"/>
        <v>21</v>
      </c>
      <c r="F62" s="134">
        <f t="shared" si="17"/>
        <v>7.50602409638554</v>
      </c>
      <c r="G62" s="134">
        <f t="shared" si="18"/>
        <v>7.50602409638554</v>
      </c>
      <c r="H62" s="134">
        <f t="shared" si="19"/>
        <v>18.006024096385545</v>
      </c>
      <c r="I62" s="135">
        <f t="shared" si="32"/>
        <v>0.930232558139535</v>
      </c>
      <c r="J62" s="135">
        <f t="shared" si="20"/>
        <v>0.8289156626506025</v>
      </c>
      <c r="K62" s="135">
        <f t="shared" si="33"/>
        <v>0.7710843373493977</v>
      </c>
      <c r="L62" s="136">
        <f t="shared" si="21"/>
        <v>0.7710843373493977</v>
      </c>
      <c r="M62" s="137">
        <f t="shared" si="22"/>
        <v>195.41666666666688</v>
      </c>
      <c r="N62" s="137">
        <f t="shared" si="23"/>
        <v>161.98393574297208</v>
      </c>
      <c r="O62" s="137">
        <f t="shared" si="24"/>
        <v>150.68273092369498</v>
      </c>
      <c r="P62" s="134">
        <f t="shared" si="25"/>
        <v>0</v>
      </c>
      <c r="Q62" s="134">
        <f t="shared" si="26"/>
        <v>0</v>
      </c>
      <c r="R62" s="138">
        <f t="shared" si="27"/>
        <v>1</v>
      </c>
      <c r="S62" s="93">
        <f t="shared" si="28"/>
        <v>4.720930232558139</v>
      </c>
    </row>
    <row r="63" spans="1:19" ht="12.75">
      <c r="A63" s="93">
        <v>4.5</v>
      </c>
      <c r="B63" s="93">
        <v>64.69178082191782</v>
      </c>
      <c r="C63" s="93">
        <f t="shared" si="29"/>
        <v>21</v>
      </c>
      <c r="D63" s="93">
        <f t="shared" si="30"/>
        <v>5</v>
      </c>
      <c r="E63" s="93">
        <f t="shared" si="31"/>
        <v>21</v>
      </c>
      <c r="F63" s="134">
        <f t="shared" si="17"/>
        <v>8.277108433734938</v>
      </c>
      <c r="G63" s="134">
        <f t="shared" si="18"/>
        <v>8.277108433734938</v>
      </c>
      <c r="H63" s="134">
        <f t="shared" si="19"/>
        <v>18.17710843373494</v>
      </c>
      <c r="I63" s="135">
        <f t="shared" si="32"/>
        <v>0.930232558139535</v>
      </c>
      <c r="J63" s="135">
        <f t="shared" si="20"/>
        <v>0.8289156626506025</v>
      </c>
      <c r="K63" s="135">
        <f t="shared" si="33"/>
        <v>0.7710843373493977</v>
      </c>
      <c r="L63" s="136">
        <f t="shared" si="21"/>
        <v>0.7710843373493977</v>
      </c>
      <c r="M63" s="137">
        <f t="shared" si="22"/>
        <v>182.18750000000026</v>
      </c>
      <c r="N63" s="137">
        <f t="shared" si="23"/>
        <v>151.01807228915683</v>
      </c>
      <c r="O63" s="137">
        <f t="shared" si="24"/>
        <v>140.4819277108436</v>
      </c>
      <c r="P63" s="134">
        <f t="shared" si="25"/>
        <v>0</v>
      </c>
      <c r="Q63" s="134">
        <f t="shared" si="26"/>
        <v>0</v>
      </c>
      <c r="R63" s="138">
        <f t="shared" si="27"/>
        <v>1</v>
      </c>
      <c r="S63" s="93">
        <f t="shared" si="28"/>
        <v>5.651162790697672</v>
      </c>
    </row>
    <row r="64" spans="1:19" ht="12.75">
      <c r="A64" s="93">
        <v>5.5</v>
      </c>
      <c r="B64" s="93">
        <v>66.99771689497716</v>
      </c>
      <c r="C64" s="93">
        <f t="shared" si="29"/>
        <v>21</v>
      </c>
      <c r="D64" s="93">
        <f t="shared" si="30"/>
        <v>5</v>
      </c>
      <c r="E64" s="93">
        <f t="shared" si="31"/>
        <v>21</v>
      </c>
      <c r="F64" s="134">
        <f t="shared" si="17"/>
        <v>9.048192771084334</v>
      </c>
      <c r="G64" s="134">
        <f t="shared" si="18"/>
        <v>9.048192771084334</v>
      </c>
      <c r="H64" s="134">
        <f t="shared" si="19"/>
        <v>18.34819277108434</v>
      </c>
      <c r="I64" s="135">
        <f t="shared" si="32"/>
        <v>0.930232558139535</v>
      </c>
      <c r="J64" s="135">
        <f t="shared" si="20"/>
        <v>0.8289156626506025</v>
      </c>
      <c r="K64" s="135">
        <f t="shared" si="33"/>
        <v>0.7710843373493977</v>
      </c>
      <c r="L64" s="136">
        <f t="shared" si="21"/>
        <v>0.7710843373493977</v>
      </c>
      <c r="M64" s="137">
        <f t="shared" si="22"/>
        <v>130.4583333333323</v>
      </c>
      <c r="N64" s="137">
        <f t="shared" si="23"/>
        <v>108.13895582329233</v>
      </c>
      <c r="O64" s="137">
        <f t="shared" si="24"/>
        <v>100.5943775100394</v>
      </c>
      <c r="P64" s="134">
        <f t="shared" si="25"/>
        <v>0</v>
      </c>
      <c r="Q64" s="134">
        <f t="shared" si="26"/>
        <v>0</v>
      </c>
      <c r="R64" s="138">
        <f t="shared" si="27"/>
        <v>1</v>
      </c>
      <c r="S64" s="93">
        <f t="shared" si="28"/>
        <v>6.581395348837209</v>
      </c>
    </row>
    <row r="65" spans="1:19" ht="12.75">
      <c r="A65" s="93">
        <v>6.5</v>
      </c>
      <c r="B65" s="93">
        <v>69.97716894977168</v>
      </c>
      <c r="C65" s="93">
        <f t="shared" si="29"/>
        <v>21</v>
      </c>
      <c r="D65" s="93">
        <f t="shared" si="30"/>
        <v>5</v>
      </c>
      <c r="E65" s="93">
        <f t="shared" si="31"/>
        <v>21</v>
      </c>
      <c r="F65" s="134">
        <f t="shared" si="17"/>
        <v>9.819277108433733</v>
      </c>
      <c r="G65" s="134">
        <f t="shared" si="18"/>
        <v>9.819277108433733</v>
      </c>
      <c r="H65" s="134">
        <f t="shared" si="19"/>
        <v>18.519277108433734</v>
      </c>
      <c r="I65" s="135">
        <f t="shared" si="32"/>
        <v>0.930232558139535</v>
      </c>
      <c r="J65" s="135">
        <f t="shared" si="20"/>
        <v>0.8289156626506025</v>
      </c>
      <c r="K65" s="135">
        <f t="shared" si="33"/>
        <v>0.7710843373493977</v>
      </c>
      <c r="L65" s="136">
        <f t="shared" si="21"/>
        <v>0.7710843373493977</v>
      </c>
      <c r="M65" s="137">
        <f t="shared" si="22"/>
        <v>157.68750000000003</v>
      </c>
      <c r="N65" s="137">
        <f t="shared" si="23"/>
        <v>130.70963855421687</v>
      </c>
      <c r="O65" s="137">
        <f t="shared" si="24"/>
        <v>121.59036144578317</v>
      </c>
      <c r="P65" s="134">
        <f t="shared" si="25"/>
        <v>0</v>
      </c>
      <c r="Q65" s="134">
        <f t="shared" si="26"/>
        <v>0</v>
      </c>
      <c r="R65" s="138">
        <f t="shared" si="27"/>
        <v>1</v>
      </c>
      <c r="S65" s="93">
        <f t="shared" si="28"/>
        <v>7.511627906976743</v>
      </c>
    </row>
    <row r="66" spans="1:19" ht="12.75">
      <c r="A66" s="93">
        <v>7.5</v>
      </c>
      <c r="B66" s="93">
        <v>72.75114155251141</v>
      </c>
      <c r="C66" s="93">
        <f t="shared" si="29"/>
        <v>21</v>
      </c>
      <c r="D66" s="93">
        <f t="shared" si="30"/>
        <v>5</v>
      </c>
      <c r="E66" s="93">
        <f t="shared" si="31"/>
        <v>21</v>
      </c>
      <c r="F66" s="134">
        <f t="shared" si="17"/>
        <v>10.590361445783131</v>
      </c>
      <c r="G66" s="134">
        <f t="shared" si="18"/>
        <v>10.590361445783131</v>
      </c>
      <c r="H66" s="134">
        <f t="shared" si="19"/>
        <v>18.690361445783132</v>
      </c>
      <c r="I66" s="135">
        <f t="shared" si="32"/>
        <v>0.930232558139535</v>
      </c>
      <c r="J66" s="135">
        <f t="shared" si="20"/>
        <v>0.8289156626506025</v>
      </c>
      <c r="K66" s="135">
        <f t="shared" si="33"/>
        <v>0.7710843373493977</v>
      </c>
      <c r="L66" s="136">
        <f t="shared" si="21"/>
        <v>0.7710843373493977</v>
      </c>
      <c r="M66" s="137">
        <f t="shared" si="22"/>
        <v>136.6875000000003</v>
      </c>
      <c r="N66" s="137">
        <f t="shared" si="23"/>
        <v>113.30240963855448</v>
      </c>
      <c r="O66" s="137">
        <f t="shared" si="24"/>
        <v>105.39759036144603</v>
      </c>
      <c r="P66" s="134">
        <f t="shared" si="25"/>
        <v>0</v>
      </c>
      <c r="Q66" s="134">
        <f t="shared" si="26"/>
        <v>0</v>
      </c>
      <c r="R66" s="138">
        <f t="shared" si="27"/>
        <v>1</v>
      </c>
      <c r="S66" s="93">
        <f t="shared" si="28"/>
        <v>8.441860465116278</v>
      </c>
    </row>
    <row r="67" spans="1:19" ht="12.75">
      <c r="A67" s="93">
        <v>8.5</v>
      </c>
      <c r="B67" s="93">
        <v>75.43378995433791</v>
      </c>
      <c r="C67" s="93">
        <f t="shared" si="29"/>
        <v>21</v>
      </c>
      <c r="D67" s="93">
        <f t="shared" si="30"/>
        <v>5</v>
      </c>
      <c r="E67" s="93">
        <f t="shared" si="31"/>
        <v>21</v>
      </c>
      <c r="F67" s="134">
        <f t="shared" si="17"/>
        <v>11.361445783132528</v>
      </c>
      <c r="G67" s="134">
        <f t="shared" si="18"/>
        <v>11.361445783132528</v>
      </c>
      <c r="H67" s="134">
        <f t="shared" si="19"/>
        <v>18.86144578313253</v>
      </c>
      <c r="I67" s="135">
        <f t="shared" si="32"/>
        <v>0.930232558139535</v>
      </c>
      <c r="J67" s="135">
        <f t="shared" si="20"/>
        <v>0.8289156626506026</v>
      </c>
      <c r="K67" s="135">
        <f t="shared" si="33"/>
        <v>0.7710843373493977</v>
      </c>
      <c r="L67" s="136">
        <f t="shared" si="21"/>
        <v>0.7710843373493979</v>
      </c>
      <c r="M67" s="137">
        <f t="shared" si="22"/>
        <v>122.39583333333397</v>
      </c>
      <c r="N67" s="137">
        <f t="shared" si="23"/>
        <v>101.45582329317322</v>
      </c>
      <c r="O67" s="137">
        <f t="shared" si="24"/>
        <v>94.37751004016116</v>
      </c>
      <c r="P67" s="134">
        <f t="shared" si="25"/>
        <v>0</v>
      </c>
      <c r="Q67" s="134">
        <f t="shared" si="26"/>
        <v>0</v>
      </c>
      <c r="R67" s="138">
        <f t="shared" si="27"/>
        <v>1</v>
      </c>
      <c r="S67" s="93">
        <f t="shared" si="28"/>
        <v>9.372093023255813</v>
      </c>
    </row>
    <row r="68" spans="1:19" ht="12.75">
      <c r="A68" s="93">
        <v>9.5</v>
      </c>
      <c r="B68" s="93">
        <v>78.23059360730593</v>
      </c>
      <c r="C68" s="93">
        <f t="shared" si="29"/>
        <v>21</v>
      </c>
      <c r="D68" s="93">
        <f t="shared" si="30"/>
        <v>5</v>
      </c>
      <c r="E68" s="93">
        <f t="shared" si="31"/>
        <v>21</v>
      </c>
      <c r="F68" s="134">
        <f t="shared" si="17"/>
        <v>12.132530120481926</v>
      </c>
      <c r="G68" s="134">
        <f t="shared" si="18"/>
        <v>12.132530120481926</v>
      </c>
      <c r="H68" s="134">
        <f t="shared" si="19"/>
        <v>19.03253012048193</v>
      </c>
      <c r="I68" s="135">
        <f t="shared" si="32"/>
        <v>0.930232558139535</v>
      </c>
      <c r="J68" s="135">
        <f t="shared" si="20"/>
        <v>0.8289156626506025</v>
      </c>
      <c r="K68" s="135">
        <f t="shared" si="33"/>
        <v>0.7710843373493977</v>
      </c>
      <c r="L68" s="136">
        <f t="shared" si="21"/>
        <v>0.7710843373493977</v>
      </c>
      <c r="M68" s="137">
        <f t="shared" si="22"/>
        <v>117.39583333333277</v>
      </c>
      <c r="N68" s="137">
        <f t="shared" si="23"/>
        <v>97.31124497991924</v>
      </c>
      <c r="O68" s="137">
        <f t="shared" si="24"/>
        <v>90.52208835341324</v>
      </c>
      <c r="P68" s="134">
        <f t="shared" si="25"/>
        <v>0</v>
      </c>
      <c r="Q68" s="134">
        <f t="shared" si="26"/>
        <v>0</v>
      </c>
      <c r="R68" s="138">
        <f t="shared" si="27"/>
        <v>1</v>
      </c>
      <c r="S68" s="93">
        <f t="shared" si="28"/>
        <v>10.302325581395348</v>
      </c>
    </row>
    <row r="69" spans="1:19" ht="12.75">
      <c r="A69" s="93">
        <v>10.5</v>
      </c>
      <c r="B69" s="93">
        <v>80.81050228310502</v>
      </c>
      <c r="C69" s="93">
        <f t="shared" si="29"/>
        <v>21</v>
      </c>
      <c r="D69" s="93">
        <f t="shared" si="30"/>
        <v>5</v>
      </c>
      <c r="E69" s="93">
        <f t="shared" si="31"/>
        <v>21</v>
      </c>
      <c r="F69" s="134">
        <f t="shared" si="17"/>
        <v>12.903614457831324</v>
      </c>
      <c r="G69" s="134">
        <f t="shared" si="18"/>
        <v>12.903614457831324</v>
      </c>
      <c r="H69" s="134">
        <f t="shared" si="19"/>
        <v>19.20361445783133</v>
      </c>
      <c r="I69" s="135">
        <f t="shared" si="32"/>
        <v>0.930232558139535</v>
      </c>
      <c r="J69" s="135">
        <f t="shared" si="20"/>
        <v>0.8289156626506025</v>
      </c>
      <c r="K69" s="135">
        <f t="shared" si="33"/>
        <v>0.7710843373493977</v>
      </c>
      <c r="L69" s="136">
        <f t="shared" si="21"/>
        <v>0.7710843373493977</v>
      </c>
      <c r="M69" s="137">
        <f t="shared" si="22"/>
        <v>98.87500000000009</v>
      </c>
      <c r="N69" s="137">
        <f t="shared" si="23"/>
        <v>81.95903614457842</v>
      </c>
      <c r="O69" s="137">
        <f t="shared" si="24"/>
        <v>76.24096385542177</v>
      </c>
      <c r="P69" s="134">
        <f t="shared" si="25"/>
        <v>0</v>
      </c>
      <c r="Q69" s="134">
        <f t="shared" si="26"/>
        <v>0</v>
      </c>
      <c r="R69" s="138">
        <f t="shared" si="27"/>
        <v>1</v>
      </c>
      <c r="S69" s="93">
        <f t="shared" si="28"/>
        <v>11.232558139534882</v>
      </c>
    </row>
    <row r="70" spans="1:19" ht="12.75">
      <c r="A70" s="93">
        <v>11.5</v>
      </c>
      <c r="B70" s="93">
        <v>83.48173515981735</v>
      </c>
      <c r="C70" s="93">
        <f t="shared" si="29"/>
        <v>21</v>
      </c>
      <c r="D70" s="93">
        <f t="shared" si="30"/>
        <v>5</v>
      </c>
      <c r="E70" s="93">
        <f t="shared" si="31"/>
        <v>21</v>
      </c>
      <c r="F70" s="134">
        <f t="shared" si="17"/>
        <v>13.67469879518072</v>
      </c>
      <c r="G70" s="134">
        <f t="shared" si="18"/>
        <v>13.67469879518072</v>
      </c>
      <c r="H70" s="134">
        <f t="shared" si="19"/>
        <v>19.374698795180723</v>
      </c>
      <c r="I70" s="135">
        <f t="shared" si="32"/>
        <v>0.930232558139535</v>
      </c>
      <c r="J70" s="135">
        <f t="shared" si="20"/>
        <v>0.8289156626506026</v>
      </c>
      <c r="K70" s="135">
        <f t="shared" si="33"/>
        <v>0.7710843373493977</v>
      </c>
      <c r="L70" s="136">
        <f t="shared" si="21"/>
        <v>0.7710843373493979</v>
      </c>
      <c r="M70" s="137">
        <f t="shared" si="22"/>
        <v>92.62499999999983</v>
      </c>
      <c r="N70" s="137">
        <f t="shared" si="23"/>
        <v>76.77831325301192</v>
      </c>
      <c r="O70" s="137">
        <f t="shared" si="24"/>
        <v>71.42168674698785</v>
      </c>
      <c r="P70" s="134">
        <f t="shared" si="25"/>
        <v>0</v>
      </c>
      <c r="Q70" s="134">
        <f t="shared" si="26"/>
        <v>0</v>
      </c>
      <c r="R70" s="138">
        <f t="shared" si="27"/>
        <v>1</v>
      </c>
      <c r="S70" s="93">
        <f t="shared" si="28"/>
        <v>12.162790697674417</v>
      </c>
    </row>
    <row r="71" spans="1:18" ht="12.75">
      <c r="A71" s="93">
        <v>12.5</v>
      </c>
      <c r="B71" s="93">
        <v>86.1986301369863</v>
      </c>
      <c r="F71" s="134"/>
      <c r="G71" s="134"/>
      <c r="H71" s="134"/>
      <c r="I71" s="135"/>
      <c r="J71" s="135"/>
      <c r="K71" s="135"/>
      <c r="L71" s="136"/>
      <c r="M71" s="137"/>
      <c r="N71" s="137"/>
      <c r="O71" s="137"/>
      <c r="P71" s="134"/>
      <c r="Q71" s="134"/>
      <c r="R71" s="138"/>
    </row>
    <row r="72" spans="1:18" ht="12.75">
      <c r="A72" s="93">
        <v>13.5</v>
      </c>
      <c r="B72" s="93">
        <v>88.58447488584474</v>
      </c>
      <c r="F72" s="134"/>
      <c r="G72" s="134"/>
      <c r="H72" s="134"/>
      <c r="I72" s="135"/>
      <c r="J72" s="135"/>
      <c r="K72" s="135"/>
      <c r="L72" s="136"/>
      <c r="M72" s="137"/>
      <c r="N72" s="137"/>
      <c r="O72" s="137"/>
      <c r="P72" s="134"/>
      <c r="Q72" s="134"/>
      <c r="R72" s="138"/>
    </row>
    <row r="73" spans="1:18" ht="12.75">
      <c r="A73" s="93">
        <v>14.5</v>
      </c>
      <c r="B73" s="93">
        <v>90.68493150684932</v>
      </c>
      <c r="F73" s="134"/>
      <c r="G73" s="134"/>
      <c r="H73" s="134"/>
      <c r="I73" s="135"/>
      <c r="J73" s="135"/>
      <c r="K73" s="135"/>
      <c r="L73" s="136"/>
      <c r="M73" s="137"/>
      <c r="N73" s="137"/>
      <c r="O73" s="137"/>
      <c r="P73" s="134"/>
      <c r="Q73" s="134"/>
      <c r="R73" s="138"/>
    </row>
    <row r="74" spans="1:18" ht="12.75">
      <c r="A74" s="93">
        <v>15.5</v>
      </c>
      <c r="B74" s="93">
        <v>92.48858447488585</v>
      </c>
      <c r="F74" s="134"/>
      <c r="G74" s="134"/>
      <c r="H74" s="134"/>
      <c r="I74" s="135"/>
      <c r="J74" s="135"/>
      <c r="K74" s="135"/>
      <c r="L74" s="136"/>
      <c r="M74" s="137"/>
      <c r="N74" s="137"/>
      <c r="O74" s="137"/>
      <c r="P74" s="134"/>
      <c r="Q74" s="134"/>
      <c r="R74" s="138"/>
    </row>
    <row r="75" spans="1:18" ht="12.75">
      <c r="A75" s="93">
        <v>16.5</v>
      </c>
      <c r="B75" s="93">
        <v>94.08675799086758</v>
      </c>
      <c r="F75" s="134"/>
      <c r="G75" s="134"/>
      <c r="H75" s="134"/>
      <c r="I75" s="135"/>
      <c r="J75" s="135"/>
      <c r="K75" s="135"/>
      <c r="L75" s="136"/>
      <c r="M75" s="137"/>
      <c r="N75" s="137"/>
      <c r="O75" s="137"/>
      <c r="P75" s="134"/>
      <c r="Q75" s="134"/>
      <c r="R75" s="138"/>
    </row>
    <row r="76" spans="1:18" ht="12.75">
      <c r="A76" s="93">
        <v>17.5</v>
      </c>
      <c r="B76" s="93">
        <v>95.34246575342465</v>
      </c>
      <c r="F76" s="134"/>
      <c r="G76" s="134"/>
      <c r="H76" s="134"/>
      <c r="I76" s="135"/>
      <c r="J76" s="135"/>
      <c r="K76" s="135"/>
      <c r="L76" s="136"/>
      <c r="M76" s="137"/>
      <c r="N76" s="137"/>
      <c r="O76" s="137"/>
      <c r="P76" s="134"/>
      <c r="Q76" s="134"/>
      <c r="R76" s="138"/>
    </row>
    <row r="77" spans="1:16" ht="12.75">
      <c r="A77" s="93">
        <v>18.5</v>
      </c>
      <c r="B77" s="93">
        <v>96.43835616438356</v>
      </c>
      <c r="L77" s="139"/>
      <c r="M77" s="139"/>
      <c r="N77" s="139"/>
      <c r="O77" s="137"/>
      <c r="P77" s="134"/>
    </row>
    <row r="78" spans="1:16" ht="12.75">
      <c r="A78" s="93">
        <v>19.5</v>
      </c>
      <c r="B78" s="93">
        <v>97.34018264840184</v>
      </c>
      <c r="L78" s="139"/>
      <c r="M78" s="139"/>
      <c r="N78" s="139"/>
      <c r="O78" s="137"/>
      <c r="P78" s="134"/>
    </row>
    <row r="79" spans="1:16" ht="12.75">
      <c r="A79" s="93">
        <v>20.5</v>
      </c>
      <c r="B79" s="93">
        <v>98.10502283105022</v>
      </c>
      <c r="L79" s="139"/>
      <c r="M79" s="139"/>
      <c r="N79" s="139"/>
      <c r="O79" s="137"/>
      <c r="P79" s="134"/>
    </row>
    <row r="80" spans="1:16" ht="12.75">
      <c r="A80" s="93">
        <v>21.5</v>
      </c>
      <c r="B80" s="93">
        <v>98.76712328767124</v>
      </c>
      <c r="L80" s="139"/>
      <c r="M80" s="139"/>
      <c r="N80" s="139"/>
      <c r="O80" s="137"/>
      <c r="P80" s="134"/>
    </row>
    <row r="81" spans="1:16" ht="12.75">
      <c r="A81" s="93">
        <v>22.5</v>
      </c>
      <c r="B81" s="93">
        <v>99.20091324200914</v>
      </c>
      <c r="L81" s="139"/>
      <c r="M81" s="139"/>
      <c r="N81" s="139"/>
      <c r="O81" s="137"/>
      <c r="P81" s="134"/>
    </row>
    <row r="82" spans="1:16" ht="12.75">
      <c r="A82" s="93">
        <v>23.5</v>
      </c>
      <c r="B82" s="93">
        <v>99.56621004566209</v>
      </c>
      <c r="L82" s="139"/>
      <c r="M82" s="139"/>
      <c r="N82" s="139"/>
      <c r="O82" s="137"/>
      <c r="P82" s="134"/>
    </row>
    <row r="83" spans="1:16" ht="12.75">
      <c r="A83" s="93">
        <v>24.5</v>
      </c>
      <c r="B83" s="93">
        <v>99.77168949771689</v>
      </c>
      <c r="L83" s="139"/>
      <c r="M83" s="139"/>
      <c r="N83" s="139"/>
      <c r="O83" s="137"/>
      <c r="P83" s="134"/>
    </row>
    <row r="84" spans="1:16" ht="12.75">
      <c r="A84" s="93">
        <v>25.5</v>
      </c>
      <c r="B84" s="93">
        <v>99.78310502283105</v>
      </c>
      <c r="L84" s="139"/>
      <c r="M84" s="139"/>
      <c r="N84" s="139"/>
      <c r="O84" s="137"/>
      <c r="P84" s="134"/>
    </row>
    <row r="85" spans="1:16" ht="12.75">
      <c r="A85" s="93">
        <v>26.5</v>
      </c>
      <c r="B85" s="93">
        <v>99.86301369863013</v>
      </c>
      <c r="L85" s="139"/>
      <c r="M85" s="139"/>
      <c r="N85" s="139"/>
      <c r="O85" s="137"/>
      <c r="P85" s="134"/>
    </row>
    <row r="86" spans="1:16" ht="12.75">
      <c r="A86" s="93">
        <v>27.5</v>
      </c>
      <c r="B86" s="93">
        <v>99.93150684931507</v>
      </c>
      <c r="L86" s="139"/>
      <c r="M86" s="139"/>
      <c r="N86" s="139"/>
      <c r="O86" s="137"/>
      <c r="P86" s="134"/>
    </row>
    <row r="87" spans="1:16" ht="12.75">
      <c r="A87" s="93">
        <v>28.5</v>
      </c>
      <c r="B87" s="93">
        <v>100</v>
      </c>
      <c r="L87" s="139"/>
      <c r="M87" s="139"/>
      <c r="N87" s="139"/>
      <c r="O87" s="137"/>
      <c r="P87" s="134"/>
    </row>
    <row r="88" spans="2:16" ht="12.75">
      <c r="B88" s="138"/>
      <c r="L88" s="139"/>
      <c r="M88" s="139"/>
      <c r="N88" s="139"/>
      <c r="O88" s="137"/>
      <c r="P88" s="134"/>
    </row>
    <row r="89" spans="2:16" ht="12.75">
      <c r="B89" s="138"/>
      <c r="L89" s="139"/>
      <c r="M89" s="139"/>
      <c r="N89" s="139"/>
      <c r="O89" s="137"/>
      <c r="P89" s="134"/>
    </row>
    <row r="90" spans="2:16" ht="12.75">
      <c r="B90" s="120"/>
      <c r="L90" s="139"/>
      <c r="M90" s="139"/>
      <c r="N90" s="139"/>
      <c r="O90" s="137"/>
      <c r="P90" s="134"/>
    </row>
    <row r="91" spans="1:16" ht="12.75">
      <c r="A91" s="135"/>
      <c r="L91" s="139"/>
      <c r="M91" s="139"/>
      <c r="N91" s="139"/>
      <c r="O91" s="137"/>
      <c r="P91" s="134"/>
    </row>
    <row r="92" spans="1:16" ht="12.75">
      <c r="A92" s="135"/>
      <c r="L92" s="139"/>
      <c r="M92" s="139"/>
      <c r="N92" s="139"/>
      <c r="O92" s="137"/>
      <c r="P92" s="134"/>
    </row>
    <row r="93" spans="1:16" ht="12.75">
      <c r="A93" s="135"/>
      <c r="L93" s="139"/>
      <c r="M93" s="139"/>
      <c r="N93" s="139"/>
      <c r="O93" s="137"/>
      <c r="P93" s="134"/>
    </row>
    <row r="94" spans="12:15" ht="12.75">
      <c r="L94" s="139"/>
      <c r="M94" s="139"/>
      <c r="N94" s="139"/>
      <c r="O94" s="139"/>
    </row>
    <row r="95" spans="12:15" ht="12.75">
      <c r="L95" s="139"/>
      <c r="M95" s="139"/>
      <c r="N95" s="139"/>
      <c r="O95" s="139"/>
    </row>
    <row r="96" spans="12:15" ht="12.75">
      <c r="L96" s="139"/>
      <c r="M96" s="139"/>
      <c r="N96" s="139"/>
      <c r="O96" s="139"/>
    </row>
    <row r="97" spans="12:15" ht="12.75">
      <c r="L97" s="139"/>
      <c r="M97" s="139"/>
      <c r="N97" s="139"/>
      <c r="O97" s="139"/>
    </row>
  </sheetData>
  <sheetProtection password="94B5" sheet="1" objects="1" scenarios="1" selectLockedCells="1"/>
  <conditionalFormatting sqref="G24:G76">
    <cfRule type="cellIs" priority="1" dxfId="0" operator="lessThan" stopIfTrue="1">
      <formula>$D$24</formula>
    </cfRule>
  </conditionalFormatting>
  <printOptions/>
  <pageMargins left="0.75" right="0.75" top="1" bottom="1" header="0.5" footer="0.5"/>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Yli-insinööri</Manager>
  <Company>Ympäristöministeriö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LTO-laskin 2012</dc:title>
  <dc:subject>Rakennuksen ilmanvaihdon lämmöntalteenoton vuosihyötysuhdelaskuri 2012</dc:subject>
  <dc:creator>Pekka Kalliomäki</dc:creator>
  <cp:keywords>energia energiatehokkuus lämpöhäviö ilmavirta lämmöntalteenotto lto ilmanvaihto vuosihyötysuhde</cp:keywords>
  <dc:description/>
  <cp:lastModifiedBy>a</cp:lastModifiedBy>
  <cp:lastPrinted>2011-11-25T09:39:48Z</cp:lastPrinted>
  <dcterms:created xsi:type="dcterms:W3CDTF">2007-12-13T09:55:09Z</dcterms:created>
  <dcterms:modified xsi:type="dcterms:W3CDTF">2011-11-25T12:59:54Z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1035</vt:i4>
  </property>
  <property fmtid="{D5CDD505-2E9C-101B-9397-08002B2CF9AE}" pid="3" name="_NewReviewCyc">
    <vt:lpwstr/>
  </property>
</Properties>
</file>